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26480\Downloads\"/>
    </mc:Choice>
  </mc:AlternateContent>
  <xr:revisionPtr revIDLastSave="0" documentId="8_{518B5AC6-95E6-470D-9E73-1481492FC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periode" sheetId="1" r:id="rId1"/>
    <sheet name="Genberegning" sheetId="8" r:id="rId2"/>
    <sheet name="Forlængelse" sheetId="2" r:id="rId3"/>
    <sheet name="Regulering" sheetId="3" r:id="rId4"/>
    <sheet name="Afbrydelse" sheetId="4" r:id="rId5"/>
    <sheet name="Afbrydelse af forlængede" sheetId="5" r:id="rId6"/>
    <sheet name="Leasingrente" sheetId="9" state="hidden" r:id="rId7"/>
  </sheets>
  <definedNames>
    <definedName name="_xlnm.Print_Area" localSheetId="1">Genberegning!$A$1:$F$44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5" l="1"/>
  <c r="I20" i="4"/>
  <c r="I21" i="2"/>
  <c r="I20" i="1"/>
  <c r="F4" i="8"/>
  <c r="K15" i="1" l="1"/>
  <c r="B14" i="8"/>
  <c r="B13" i="8" l="1"/>
  <c r="B12" i="8" l="1"/>
  <c r="B18" i="8" s="1"/>
  <c r="E11" i="8" l="1"/>
  <c r="E10" i="8"/>
  <c r="F25" i="8"/>
  <c r="F24" i="8"/>
  <c r="F15" i="8"/>
  <c r="F26" i="8" l="1"/>
  <c r="B21" i="8"/>
  <c r="D19" i="8" s="1"/>
  <c r="E8" i="8"/>
  <c r="F3" i="8"/>
  <c r="F5" i="8" s="1"/>
  <c r="F6" i="8" s="1"/>
  <c r="F16" i="8" s="1"/>
  <c r="F10" i="8" l="1"/>
  <c r="F20" i="8" s="1"/>
  <c r="F8" i="8"/>
  <c r="F9" i="8" l="1"/>
  <c r="F11" i="8" s="1"/>
  <c r="F12" i="8" s="1"/>
  <c r="F14" i="8" s="1"/>
  <c r="F17" i="8" s="1"/>
  <c r="F21" i="8" l="1"/>
  <c r="K17" i="5" l="1"/>
  <c r="E29" i="5"/>
  <c r="D31" i="5"/>
  <c r="E33" i="5" s="1"/>
  <c r="E35" i="5"/>
  <c r="K16" i="4"/>
  <c r="K17" i="4" s="1"/>
  <c r="E26" i="4"/>
  <c r="E24" i="3"/>
  <c r="G26" i="3"/>
  <c r="D26" i="3" s="1"/>
  <c r="E28" i="3"/>
  <c r="E36" i="3" s="1"/>
  <c r="E30" i="3"/>
  <c r="K17" i="2"/>
  <c r="K18" i="2" s="1"/>
  <c r="E29" i="2"/>
  <c r="E35" i="2"/>
  <c r="E24" i="1"/>
  <c r="K18" i="5"/>
  <c r="K21" i="5" s="1"/>
  <c r="K20" i="4" l="1"/>
  <c r="K18" i="4"/>
  <c r="D28" i="4" s="1"/>
  <c r="E30" i="4" s="1"/>
  <c r="E32" i="4" s="1"/>
  <c r="E34" i="4" s="1"/>
  <c r="E36" i="4" s="1"/>
  <c r="E40" i="4" s="1"/>
  <c r="K16" i="1"/>
  <c r="K17" i="1" s="1"/>
  <c r="E37" i="5"/>
  <c r="E39" i="5" s="1"/>
  <c r="E41" i="5" s="1"/>
  <c r="E45" i="5" s="1"/>
  <c r="E32" i="3"/>
  <c r="E34" i="3"/>
  <c r="K21" i="2"/>
  <c r="D31" i="2" s="1"/>
  <c r="E33" i="2" s="1"/>
  <c r="E37" i="2" s="1"/>
  <c r="E39" i="2" s="1"/>
  <c r="K19" i="5"/>
  <c r="E42" i="2" l="1"/>
  <c r="D26" i="1"/>
  <c r="E28" i="1" s="1"/>
  <c r="E30" i="1" s="1"/>
  <c r="E32" i="1" s="1"/>
  <c r="E35" i="1" s="1"/>
</calcChain>
</file>

<file path=xl/sharedStrings.xml><?xml version="1.0" encoding="utf-8"?>
<sst xmlns="http://schemas.openxmlformats.org/spreadsheetml/2006/main" count="248" uniqueCount="117">
  <si>
    <t>Køretøjet:</t>
  </si>
  <si>
    <t>Værdi, inkl. reg.afgift og moms</t>
  </si>
  <si>
    <t>, heraf registreringsafgift</t>
  </si>
  <si>
    <t>Alder ved ordningens start, mdr</t>
  </si>
  <si>
    <t>Forudsætninger:</t>
  </si>
  <si>
    <t>Forudsat værditab:</t>
  </si>
  <si>
    <t xml:space="preserve"> - Herefter =</t>
  </si>
  <si>
    <t xml:space="preserve"> - Næste 33 mdr. = </t>
  </si>
  <si>
    <t xml:space="preserve"> - Første 3 mdr = </t>
  </si>
  <si>
    <t>RESULTAT:</t>
  </si>
  <si>
    <t>Registereringsafgift</t>
  </si>
  <si>
    <t>Registreringsafgift af forudsat værditab</t>
  </si>
  <si>
    <t>a.</t>
  </si>
  <si>
    <t>b.</t>
  </si>
  <si>
    <t>c.</t>
  </si>
  <si>
    <t>d.</t>
  </si>
  <si>
    <t>e.</t>
  </si>
  <si>
    <t>Rente af restafgift</t>
  </si>
  <si>
    <t>f.</t>
  </si>
  <si>
    <t>g.</t>
  </si>
  <si>
    <t>Forudsat værditab, %</t>
  </si>
  <si>
    <t>Restafgift ved udløb af leasingperiode (a.- c.)</t>
  </si>
  <si>
    <t>Leasingperiode, mdr.</t>
  </si>
  <si>
    <t>Oprindelig værdi, inkl. reg.afgift og moms</t>
  </si>
  <si>
    <t>Alder ved forlængelsens start, mdr</t>
  </si>
  <si>
    <t>Forlængelse, mdr.</t>
  </si>
  <si>
    <t>Registreringsafgift af nyt forudsat værditab</t>
  </si>
  <si>
    <t>Tidligere afregnet registreringsafgift</t>
  </si>
  <si>
    <t>h.</t>
  </si>
  <si>
    <t>Restafgift ved udløb af leasingperiode (a.- c.- d.)</t>
  </si>
  <si>
    <t>Ultimoregulering ved vurdering</t>
  </si>
  <si>
    <t>Forudbetalt registreringsafgift</t>
  </si>
  <si>
    <t>Realiseret værditab, %</t>
  </si>
  <si>
    <t>Registreringsafgift af realiseret værditab</t>
  </si>
  <si>
    <t>Til udbetaling</t>
  </si>
  <si>
    <t>Til indbetaling</t>
  </si>
  <si>
    <t>Reguleret restafgift</t>
  </si>
  <si>
    <t>Forudbetaling - Ny leasingperiode</t>
  </si>
  <si>
    <t>Dato</t>
  </si>
  <si>
    <t>Køretøjet</t>
  </si>
  <si>
    <t>Leasingselskabet</t>
  </si>
  <si>
    <t>Mærke</t>
  </si>
  <si>
    <t>Model</t>
  </si>
  <si>
    <t>Stelnummer</t>
  </si>
  <si>
    <t>1. reg.dato</t>
  </si>
  <si>
    <t>Beregningsgrundlag:</t>
  </si>
  <si>
    <t>Forudbetaling - forlængelse</t>
  </si>
  <si>
    <t>J-nr.</t>
  </si>
  <si>
    <t>Regnemaskine - leasingkøretøjer</t>
  </si>
  <si>
    <t>CVR-nr</t>
  </si>
  <si>
    <t>Periodeslutdato</t>
  </si>
  <si>
    <t>Periodestartdato</t>
  </si>
  <si>
    <t>Beregningsgrundlag - ny periode:</t>
  </si>
  <si>
    <t>Oprindelig betalt</t>
  </si>
  <si>
    <t>Godtgørelse</t>
  </si>
  <si>
    <t>Reg.nr.</t>
  </si>
  <si>
    <t>Forudbetaling i alt (c.+ e..)</t>
  </si>
  <si>
    <t>Forudbetaling i alt (c.+ e.)</t>
  </si>
  <si>
    <t>Afbrydelse</t>
  </si>
  <si>
    <t>Afbrydelse af tidligere forlængede</t>
  </si>
  <si>
    <t>Forudbetaling i alt (c.+ f.)</t>
  </si>
  <si>
    <t>Oprindelig beregnet registreringsafgift</t>
  </si>
  <si>
    <t>Registreringsafgift, beregnet af handelsværdi</t>
  </si>
  <si>
    <t>Afgiftspligtig værdi</t>
  </si>
  <si>
    <t>Handelspris</t>
  </si>
  <si>
    <t>Genberegning - Udlejningskøretøjer mv</t>
  </si>
  <si>
    <t>Afgiftsdata:</t>
  </si>
  <si>
    <t>Registreringsafgift</t>
  </si>
  <si>
    <t>Ny registreringafgift</t>
  </si>
  <si>
    <t>Regulering:</t>
  </si>
  <si>
    <t>Forløbet periode</t>
  </si>
  <si>
    <t>Tidligere afregnet forholdsmæssig afgift:</t>
  </si>
  <si>
    <t>Værditab:</t>
  </si>
  <si>
    <t>Saldo, forløbet periode:</t>
  </si>
  <si>
    <t>Resterende periode</t>
  </si>
  <si>
    <t>Restafgift ved udløb af leasingperiode:</t>
  </si>
  <si>
    <t>Rente af restafgift, forløbet periode:</t>
  </si>
  <si>
    <t>Rente af restafgift, resterende periode:</t>
  </si>
  <si>
    <t>Ny leasingafgift i alt</t>
  </si>
  <si>
    <t>Samlet regulering</t>
  </si>
  <si>
    <t>Ny leasingafgift:</t>
  </si>
  <si>
    <t>Tidligere afregnet leasingafgift:</t>
  </si>
  <si>
    <t>Regulering af leasingafgift:</t>
  </si>
  <si>
    <t>Refusion af leasingafg.</t>
  </si>
  <si>
    <t>Leasingafgift</t>
  </si>
  <si>
    <t>Forudsat værditab</t>
  </si>
  <si>
    <t>Betalt leasingafgift inkl. rente</t>
  </si>
  <si>
    <t>Værdier ved genberegning</t>
  </si>
  <si>
    <t>Månedsangivelse</t>
  </si>
  <si>
    <t>Afgang:</t>
  </si>
  <si>
    <t>Afgiftspligtig værdi som nyt</t>
  </si>
  <si>
    <t>Tilgang:</t>
  </si>
  <si>
    <t>Regulering på fuld afgift</t>
  </si>
  <si>
    <t>Leasingrente ved start</t>
  </si>
  <si>
    <t>Leasingrente ved genberegning</t>
  </si>
  <si>
    <t>Forløbet periode inden genberegning (mdr.)</t>
  </si>
  <si>
    <t>Afgiftspligtig værdi ved første registrering</t>
  </si>
  <si>
    <t>Fuld registreringsafgift ved første registrering</t>
  </si>
  <si>
    <t>Fuld leasingperiode</t>
  </si>
  <si>
    <t>Teknisk beregnet nypris</t>
  </si>
  <si>
    <t>Startdato</t>
  </si>
  <si>
    <t>Slutdato</t>
  </si>
  <si>
    <t>Rente</t>
  </si>
  <si>
    <t>Dato for første registrering (udfyldes DD-MM-ÅÅ)</t>
  </si>
  <si>
    <t>Genberegningsdato (udfyldes DD-MM-ÅÅ)</t>
  </si>
  <si>
    <t>Leasingrente =</t>
  </si>
  <si>
    <t>Leasingrente *) =</t>
  </si>
  <si>
    <t xml:space="preserve">Leasingrente = </t>
  </si>
  <si>
    <r>
      <rPr>
        <b/>
        <sz val="7"/>
        <rFont val="Arial"/>
        <family val="2"/>
      </rPr>
      <t>*) Dato</t>
    </r>
    <r>
      <rPr>
        <sz val="7"/>
        <rFont val="Arial"/>
        <family val="2"/>
      </rPr>
      <t xml:space="preserve"> for forlængelse</t>
    </r>
  </si>
  <si>
    <t xml:space="preserve">*) Dato (DD-MM-ÅÅ) for gennemførelse af forlængelsen i Motorregistret. </t>
  </si>
  <si>
    <t xml:space="preserve">*) Dato (DD-MM-ÅÅ) for gennemførelse af forlængelse i Motorregistret. </t>
  </si>
  <si>
    <t>Ønskes værditab for den forløbne periode</t>
  </si>
  <si>
    <t>JA</t>
  </si>
  <si>
    <t>Hvis dette felt er tomt, bruges leasingrente 3,8% = leasingrenten for 2. halvår 2026.</t>
  </si>
  <si>
    <t>2. halvår 2026</t>
  </si>
  <si>
    <t>Leasingafgiften beregnes med leasingrente for dato (DD-MM-ÅÅ) i 'Periodestartdato'. Hvis dette felt er tomt, bruges leasingrente 3,8% = leasingrenten for 2. halvår 2026.</t>
  </si>
  <si>
    <t>*) Leasingafgiften beregnes med leasingrente for dato (DD-MM-ÅÅ) i 'Periodestartdato'. Hvis dette felt er tomt, bruges leasingrente 3,8% = leasingrenten for 2. halvår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</si>
</sst>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 * #,##0.00_ ;_ * \-#,##0.00_ ;_ * &quot;-&quot;??_ ;_ @_ "/>
    <numFmt numFmtId="166" formatCode="_ * #,##0_ ;_ * \-#,##0_ ;_ * &quot;-&quot;??_ ;_ @_ "/>
    <numFmt numFmtId="167" formatCode="0.00000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i/>
      <sz val="10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444444"/>
      <name val="Calibri"/>
      <family val="2"/>
    </font>
    <font>
      <b/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3" fontId="0" fillId="0" borderId="0" xfId="0" applyNumberFormat="1"/>
    <xf numFmtId="0" fontId="5" fillId="0" borderId="0" xfId="0" applyFont="1"/>
    <xf numFmtId="3" fontId="4" fillId="2" borderId="1" xfId="0" applyNumberFormat="1" applyFont="1" applyFill="1" applyBorder="1"/>
    <xf numFmtId="0" fontId="6" fillId="0" borderId="0" xfId="0" applyFont="1"/>
    <xf numFmtId="0" fontId="4" fillId="0" borderId="0" xfId="0" applyFont="1"/>
    <xf numFmtId="3" fontId="0" fillId="0" borderId="1" xfId="0" applyNumberFormat="1" applyBorder="1"/>
    <xf numFmtId="3" fontId="4" fillId="0" borderId="0" xfId="0" applyNumberFormat="1" applyFont="1"/>
    <xf numFmtId="0" fontId="7" fillId="0" borderId="0" xfId="0" applyFont="1"/>
    <xf numFmtId="0" fontId="8" fillId="0" borderId="0" xfId="0" applyFont="1"/>
    <xf numFmtId="10" fontId="8" fillId="0" borderId="0" xfId="0" applyNumberFormat="1" applyFont="1"/>
    <xf numFmtId="164" fontId="0" fillId="0" borderId="1" xfId="0" applyNumberFormat="1" applyBorder="1"/>
    <xf numFmtId="3" fontId="0" fillId="3" borderId="1" xfId="0" applyNumberFormat="1" applyFill="1" applyBorder="1" applyProtection="1">
      <protection locked="0"/>
    </xf>
    <xf numFmtId="0" fontId="9" fillId="0" borderId="0" xfId="0" applyFont="1"/>
    <xf numFmtId="0" fontId="10" fillId="0" borderId="0" xfId="0" applyFont="1"/>
    <xf numFmtId="0" fontId="0" fillId="3" borderId="1" xfId="0" applyFill="1" applyBorder="1" applyProtection="1">
      <protection locked="0"/>
    </xf>
    <xf numFmtId="0" fontId="11" fillId="0" borderId="0" xfId="0" applyFont="1"/>
    <xf numFmtId="0" fontId="12" fillId="0" borderId="0" xfId="0" applyFont="1"/>
    <xf numFmtId="3" fontId="4" fillId="3" borderId="1" xfId="0" applyNumberFormat="1" applyFont="1" applyFill="1" applyBorder="1" applyProtection="1">
      <protection locked="0"/>
    </xf>
    <xf numFmtId="0" fontId="13" fillId="3" borderId="1" xfId="0" applyFont="1" applyFill="1" applyBorder="1" applyProtection="1">
      <protection locked="0"/>
    </xf>
    <xf numFmtId="0" fontId="14" fillId="0" borderId="0" xfId="0" applyFont="1"/>
    <xf numFmtId="14" fontId="0" fillId="3" borderId="1" xfId="0" applyNumberFormat="1" applyFill="1" applyBorder="1" applyProtection="1">
      <protection locked="0"/>
    </xf>
    <xf numFmtId="3" fontId="18" fillId="3" borderId="1" xfId="3" applyNumberFormat="1" applyFont="1" applyFill="1" applyBorder="1" applyProtection="1">
      <protection locked="0"/>
    </xf>
    <xf numFmtId="3" fontId="18" fillId="4" borderId="1" xfId="0" applyNumberFormat="1" applyFont="1" applyFill="1" applyBorder="1" applyProtection="1">
      <protection locked="0"/>
    </xf>
    <xf numFmtId="14" fontId="18" fillId="3" borderId="1" xfId="0" applyNumberFormat="1" applyFont="1" applyFill="1" applyBorder="1" applyProtection="1">
      <protection locked="0"/>
    </xf>
    <xf numFmtId="3" fontId="18" fillId="4" borderId="13" xfId="0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8" fillId="0" borderId="9" xfId="0" applyFont="1" applyBorder="1"/>
    <xf numFmtId="166" fontId="18" fillId="0" borderId="10" xfId="3" applyNumberFormat="1" applyFont="1" applyBorder="1" applyProtection="1"/>
    <xf numFmtId="0" fontId="17" fillId="0" borderId="3" xfId="0" applyFont="1" applyBorder="1"/>
    <xf numFmtId="0" fontId="17" fillId="0" borderId="2" xfId="0" applyFont="1" applyBorder="1"/>
    <xf numFmtId="166" fontId="17" fillId="0" borderId="11" xfId="3" applyNumberFormat="1" applyFont="1" applyBorder="1" applyProtection="1"/>
    <xf numFmtId="164" fontId="18" fillId="0" borderId="0" xfId="0" applyNumberFormat="1" applyFont="1"/>
    <xf numFmtId="10" fontId="18" fillId="0" borderId="0" xfId="2" applyNumberFormat="1" applyFont="1" applyBorder="1" applyProtection="1"/>
    <xf numFmtId="0" fontId="17" fillId="0" borderId="1" xfId="0" applyFont="1" applyBorder="1"/>
    <xf numFmtId="3" fontId="18" fillId="0" borderId="9" xfId="0" applyNumberFormat="1" applyFont="1" applyBorder="1"/>
    <xf numFmtId="166" fontId="18" fillId="0" borderId="10" xfId="0" applyNumberFormat="1" applyFont="1" applyBorder="1"/>
    <xf numFmtId="3" fontId="18" fillId="0" borderId="3" xfId="0" applyNumberFormat="1" applyFont="1" applyBorder="1"/>
    <xf numFmtId="0" fontId="18" fillId="0" borderId="2" xfId="0" applyFont="1" applyBorder="1"/>
    <xf numFmtId="166" fontId="18" fillId="0" borderId="11" xfId="0" applyNumberFormat="1" applyFont="1" applyBorder="1"/>
    <xf numFmtId="166" fontId="18" fillId="0" borderId="0" xfId="3" applyNumberFormat="1" applyFont="1" applyFill="1" applyBorder="1" applyProtection="1"/>
    <xf numFmtId="166" fontId="18" fillId="0" borderId="10" xfId="3" applyNumberFormat="1" applyFont="1" applyFill="1" applyBorder="1" applyProtection="1"/>
    <xf numFmtId="166" fontId="17" fillId="0" borderId="0" xfId="3" applyNumberFormat="1" applyFont="1" applyFill="1" applyBorder="1" applyProtection="1"/>
    <xf numFmtId="0" fontId="0" fillId="0" borderId="2" xfId="0" applyBorder="1"/>
    <xf numFmtId="166" fontId="17" fillId="0" borderId="11" xfId="3" applyNumberFormat="1" applyFont="1" applyFill="1" applyBorder="1" applyProtection="1"/>
    <xf numFmtId="164" fontId="0" fillId="0" borderId="0" xfId="1" applyNumberFormat="1" applyFont="1" applyProtection="1"/>
    <xf numFmtId="0" fontId="13" fillId="0" borderId="0" xfId="0" applyFont="1"/>
    <xf numFmtId="166" fontId="0" fillId="0" borderId="0" xfId="0" applyNumberFormat="1"/>
    <xf numFmtId="3" fontId="19" fillId="0" borderId="0" xfId="0" applyNumberFormat="1" applyFont="1"/>
    <xf numFmtId="167" fontId="19" fillId="0" borderId="0" xfId="0" applyNumberFormat="1" applyFont="1"/>
    <xf numFmtId="0" fontId="19" fillId="0" borderId="0" xfId="0" applyFont="1"/>
    <xf numFmtId="166" fontId="18" fillId="4" borderId="1" xfId="3" applyNumberFormat="1" applyFont="1" applyFill="1" applyBorder="1" applyProtection="1">
      <protection locked="0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0" fillId="0" borderId="9" xfId="0" applyFont="1" applyBorder="1"/>
    <xf numFmtId="166" fontId="17" fillId="0" borderId="1" xfId="3" applyNumberFormat="1" applyFont="1" applyFill="1" applyBorder="1" applyProtection="1"/>
    <xf numFmtId="0" fontId="21" fillId="0" borderId="0" xfId="4" applyFont="1" applyAlignment="1">
      <alignment horizontal="center"/>
    </xf>
    <xf numFmtId="10" fontId="21" fillId="0" borderId="0" xfId="2" applyNumberFormat="1" applyFont="1" applyAlignment="1">
      <alignment horizontal="center"/>
    </xf>
    <xf numFmtId="14" fontId="1" fillId="0" borderId="0" xfId="4" applyNumberFormat="1" applyAlignment="1">
      <alignment horizontal="center"/>
    </xf>
    <xf numFmtId="10" fontId="0" fillId="0" borderId="0" xfId="2" applyNumberFormat="1" applyFont="1"/>
    <xf numFmtId="10" fontId="22" fillId="0" borderId="0" xfId="2" applyNumberFormat="1" applyFont="1"/>
    <xf numFmtId="14" fontId="22" fillId="0" borderId="0" xfId="4" applyNumberFormat="1" applyFont="1" applyAlignment="1">
      <alignment horizontal="center"/>
    </xf>
    <xf numFmtId="14" fontId="22" fillId="0" borderId="0" xfId="0" applyNumberFormat="1" applyFont="1"/>
    <xf numFmtId="10" fontId="22" fillId="0" borderId="0" xfId="0" applyNumberFormat="1" applyFont="1"/>
    <xf numFmtId="164" fontId="8" fillId="0" borderId="0" xfId="0" applyNumberFormat="1" applyFont="1"/>
    <xf numFmtId="164" fontId="18" fillId="0" borderId="1" xfId="2" applyNumberFormat="1" applyFont="1" applyBorder="1" applyProtection="1"/>
    <xf numFmtId="164" fontId="23" fillId="0" borderId="1" xfId="0" applyNumberFormat="1" applyFont="1" applyBorder="1"/>
    <xf numFmtId="166" fontId="18" fillId="0" borderId="1" xfId="3" applyNumberFormat="1" applyFont="1" applyFill="1" applyBorder="1" applyProtection="1"/>
    <xf numFmtId="0" fontId="16" fillId="0" borderId="8" xfId="0" applyFont="1" applyBorder="1"/>
    <xf numFmtId="14" fontId="18" fillId="4" borderId="14" xfId="0" applyNumberFormat="1" applyFont="1" applyFill="1" applyBorder="1" applyProtection="1">
      <protection locked="0"/>
    </xf>
    <xf numFmtId="0" fontId="17" fillId="0" borderId="4" xfId="0" applyFont="1" applyBorder="1"/>
    <xf numFmtId="0" fontId="18" fillId="0" borderId="5" xfId="0" applyFont="1" applyBorder="1"/>
    <xf numFmtId="0" fontId="18" fillId="0" borderId="13" xfId="0" applyFont="1" applyBorder="1"/>
    <xf numFmtId="0" fontId="18" fillId="0" borderId="15" xfId="0" applyFont="1" applyBorder="1"/>
    <xf numFmtId="0" fontId="18" fillId="0" borderId="14" xfId="0" applyFont="1" applyBorder="1"/>
    <xf numFmtId="14" fontId="0" fillId="0" borderId="0" xfId="0" applyNumberFormat="1"/>
    <xf numFmtId="164" fontId="24" fillId="0" borderId="0" xfId="0" applyNumberFormat="1" applyFont="1"/>
    <xf numFmtId="0" fontId="15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3" fontId="15" fillId="3" borderId="1" xfId="0" applyNumberFormat="1" applyFont="1" applyFill="1" applyBorder="1" applyProtection="1">
      <protection locked="0"/>
    </xf>
    <xf numFmtId="0" fontId="16" fillId="0" borderId="6" xfId="0" applyFont="1" applyBorder="1" applyAlignment="1">
      <alignment vertical="center"/>
    </xf>
    <xf numFmtId="0" fontId="18" fillId="0" borderId="1" xfId="0" applyFont="1" applyBorder="1" applyAlignment="1" applyProtection="1">
      <alignment horizontal="center"/>
      <protection locked="0"/>
    </xf>
    <xf numFmtId="0" fontId="8" fillId="5" borderId="16" xfId="0" applyFont="1" applyFill="1" applyBorder="1" applyAlignment="1">
      <alignment horizontal="center" wrapText="1"/>
    </xf>
    <xf numFmtId="0" fontId="8" fillId="5" borderId="17" xfId="0" applyFont="1" applyFill="1" applyBorder="1" applyAlignment="1">
      <alignment horizontal="center" wrapText="1"/>
    </xf>
    <xf numFmtId="0" fontId="8" fillId="5" borderId="18" xfId="0" applyFont="1" applyFill="1" applyBorder="1" applyAlignment="1">
      <alignment horizontal="center" wrapText="1"/>
    </xf>
    <xf numFmtId="0" fontId="8" fillId="5" borderId="19" xfId="0" applyFont="1" applyFill="1" applyBorder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0" fontId="8" fillId="5" borderId="21" xfId="0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center" wrapText="1"/>
    </xf>
    <xf numFmtId="0" fontId="8" fillId="5" borderId="23" xfId="0" applyFont="1" applyFill="1" applyBorder="1" applyAlignment="1">
      <alignment horizontal="center" wrapText="1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6" borderId="0" xfId="0" applyFont="1" applyFill="1" applyAlignment="1">
      <alignment horizontal="center" vertical="top" wrapText="1"/>
    </xf>
    <xf numFmtId="0" fontId="8" fillId="6" borderId="0" xfId="0" applyFont="1" applyFill="1" applyAlignment="1">
      <alignment horizontal="center" wrapText="1"/>
    </xf>
  </cellXfs>
  <cellStyles count="5">
    <cellStyle name="Komma 2" xfId="3" xr:uid="{0B1662AB-772B-4FAB-A270-C74925118E6B}"/>
    <cellStyle name="Normal" xfId="0" builtinId="0"/>
    <cellStyle name="Normal 2" xfId="4" xr:uid="{28357C70-CA29-470B-B59F-6675D5F8C6D4}"/>
    <cellStyle name="Procent" xfId="1" builtinId="5"/>
    <cellStyle name="Procent 2" xfId="2" xr:uid="{44B781D4-8869-459D-9BBE-E898A43391F1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zoomScaleNormal="100" workbookViewId="0">
      <selection activeCell="B1" sqref="B1"/>
    </sheetView>
  </sheetViews>
  <sheetFormatPr defaultRowHeight="12.75" x14ac:dyDescent="0.2"/>
  <cols>
    <col min="1" max="1" width="3.7109375" customWidth="1"/>
    <col min="2" max="2" width="15.7109375" customWidth="1"/>
    <col min="3" max="3" width="12.7109375" customWidth="1"/>
    <col min="4" max="4" width="10.28515625" bestFit="1" customWidth="1"/>
    <col min="11" max="11" width="10.28515625" bestFit="1" customWidth="1"/>
  </cols>
  <sheetData>
    <row r="1" spans="1:15" ht="15.75" x14ac:dyDescent="0.25">
      <c r="A1" s="2" t="s">
        <v>48</v>
      </c>
      <c r="G1" s="5" t="s">
        <v>114</v>
      </c>
    </row>
    <row r="2" spans="1:15" ht="15" x14ac:dyDescent="0.25">
      <c r="A2" s="4" t="s">
        <v>37</v>
      </c>
    </row>
    <row r="3" spans="1:15" x14ac:dyDescent="0.2">
      <c r="B3" s="13" t="s">
        <v>51</v>
      </c>
      <c r="C3" s="13" t="s">
        <v>50</v>
      </c>
      <c r="F3" s="13" t="s">
        <v>38</v>
      </c>
      <c r="I3" s="13" t="s">
        <v>47</v>
      </c>
    </row>
    <row r="4" spans="1:15" x14ac:dyDescent="0.2">
      <c r="B4" s="21"/>
      <c r="C4" s="21"/>
      <c r="F4" s="15"/>
      <c r="I4" s="15"/>
    </row>
    <row r="6" spans="1:15" x14ac:dyDescent="0.2">
      <c r="B6" s="14" t="s">
        <v>39</v>
      </c>
      <c r="F6" s="14" t="s">
        <v>40</v>
      </c>
    </row>
    <row r="7" spans="1:15" x14ac:dyDescent="0.2">
      <c r="B7" s="13" t="s">
        <v>41</v>
      </c>
      <c r="C7" s="13" t="s">
        <v>42</v>
      </c>
      <c r="F7" s="95"/>
      <c r="G7" s="96"/>
      <c r="H7" s="96"/>
      <c r="I7" s="97"/>
    </row>
    <row r="8" spans="1:15" x14ac:dyDescent="0.2">
      <c r="B8" s="15"/>
      <c r="C8" s="15"/>
      <c r="F8" s="98"/>
      <c r="G8" s="99"/>
      <c r="H8" s="99"/>
      <c r="I8" s="100"/>
    </row>
    <row r="9" spans="1:15" x14ac:dyDescent="0.2">
      <c r="B9" s="13" t="s">
        <v>43</v>
      </c>
      <c r="D9" s="13" t="s">
        <v>44</v>
      </c>
      <c r="F9" s="98"/>
      <c r="G9" s="99"/>
      <c r="H9" s="99"/>
      <c r="I9" s="100"/>
    </row>
    <row r="10" spans="1:15" x14ac:dyDescent="0.2">
      <c r="B10" s="93"/>
      <c r="C10" s="94"/>
      <c r="D10" s="21"/>
      <c r="F10" s="101"/>
      <c r="G10" s="102"/>
      <c r="H10" s="102"/>
      <c r="I10" s="103"/>
    </row>
    <row r="11" spans="1:15" x14ac:dyDescent="0.2">
      <c r="F11" s="17" t="s">
        <v>49</v>
      </c>
    </row>
    <row r="12" spans="1:15" x14ac:dyDescent="0.2">
      <c r="F12" s="93"/>
      <c r="G12" s="94"/>
    </row>
    <row r="13" spans="1:15" x14ac:dyDescent="0.2">
      <c r="A13" s="5" t="s">
        <v>45</v>
      </c>
      <c r="G13" s="9" t="s">
        <v>4</v>
      </c>
      <c r="H13" s="9"/>
      <c r="I13" s="9"/>
    </row>
    <row r="14" spans="1:15" x14ac:dyDescent="0.2">
      <c r="E14" s="1"/>
      <c r="J14" s="16"/>
      <c r="L14" s="16"/>
      <c r="M14" s="16"/>
      <c r="N14" s="16"/>
      <c r="O14" s="16"/>
    </row>
    <row r="15" spans="1:15" x14ac:dyDescent="0.2">
      <c r="B15" s="78" t="s">
        <v>67</v>
      </c>
      <c r="E15" s="12"/>
      <c r="G15" s="9" t="s">
        <v>5</v>
      </c>
      <c r="H15" s="9"/>
      <c r="I15" s="9"/>
      <c r="J15" s="16"/>
      <c r="K15" s="8">
        <f>IF(E17&lt;3,IF(E19+E17&lt;4,E19,3-E17),0)</f>
        <v>0</v>
      </c>
      <c r="L15" s="16"/>
      <c r="M15" s="16"/>
      <c r="N15" s="16"/>
      <c r="O15" s="16"/>
    </row>
    <row r="16" spans="1:15" x14ac:dyDescent="0.2">
      <c r="E16" s="1"/>
      <c r="G16" s="9" t="s">
        <v>8</v>
      </c>
      <c r="H16" s="9"/>
      <c r="I16" s="65">
        <v>0.02</v>
      </c>
      <c r="J16" s="16"/>
      <c r="K16" s="8">
        <f>IF(E17&gt;36,0,IF(E19&gt;(36-E17),36-E17-K15,E19-K15))</f>
        <v>0</v>
      </c>
      <c r="L16" s="16"/>
      <c r="M16" s="16"/>
      <c r="N16" s="16"/>
      <c r="O16" s="16"/>
    </row>
    <row r="17" spans="1:15" x14ac:dyDescent="0.2">
      <c r="B17" t="s">
        <v>3</v>
      </c>
      <c r="E17" s="12"/>
      <c r="G17" s="9" t="s">
        <v>7</v>
      </c>
      <c r="H17" s="9"/>
      <c r="I17" s="65">
        <v>0.01</v>
      </c>
      <c r="J17" s="16"/>
      <c r="K17" s="8">
        <f>E19-K15-K16</f>
        <v>0</v>
      </c>
      <c r="L17" s="16"/>
      <c r="M17" s="16"/>
      <c r="N17" s="16"/>
      <c r="O17" s="16"/>
    </row>
    <row r="18" spans="1:15" x14ac:dyDescent="0.2">
      <c r="E18" s="1"/>
      <c r="G18" s="9" t="s">
        <v>6</v>
      </c>
      <c r="H18" s="9"/>
      <c r="I18" s="65">
        <v>5.0000000000000001E-3</v>
      </c>
      <c r="K18" s="16"/>
    </row>
    <row r="19" spans="1:15" x14ac:dyDescent="0.2">
      <c r="A19" s="5" t="s">
        <v>22</v>
      </c>
      <c r="E19" s="12"/>
      <c r="G19" s="9"/>
      <c r="H19" s="9"/>
      <c r="I19" s="65"/>
    </row>
    <row r="20" spans="1:15" ht="13.5" x14ac:dyDescent="0.25">
      <c r="E20" s="1"/>
      <c r="G20" s="9" t="s">
        <v>105</v>
      </c>
      <c r="H20" s="9"/>
      <c r="I20" s="77">
        <f>IFERROR(LOOKUP(IF(B4="",46023,B4),Leasingrente!A:B,Leasingrente!C:C),3.8%)</f>
        <v>3.7999999999999999E-2</v>
      </c>
    </row>
    <row r="21" spans="1:15" ht="13.5" thickBot="1" x14ac:dyDescent="0.25">
      <c r="E21" s="1"/>
    </row>
    <row r="22" spans="1:15" ht="15" customHeight="1" x14ac:dyDescent="0.2">
      <c r="A22" s="5" t="s">
        <v>9</v>
      </c>
      <c r="E22" s="1"/>
      <c r="G22" s="84" t="s">
        <v>115</v>
      </c>
      <c r="H22" s="85"/>
      <c r="I22" s="85"/>
      <c r="J22" s="86"/>
      <c r="K22" s="78"/>
      <c r="L22" s="78"/>
      <c r="M22" s="78"/>
    </row>
    <row r="23" spans="1:15" x14ac:dyDescent="0.2">
      <c r="E23" s="1"/>
      <c r="G23" s="87"/>
      <c r="H23" s="88"/>
      <c r="I23" s="88"/>
      <c r="J23" s="89"/>
      <c r="K23" s="78"/>
      <c r="L23" s="78"/>
      <c r="M23" s="78"/>
    </row>
    <row r="24" spans="1:15" x14ac:dyDescent="0.2">
      <c r="A24" t="s">
        <v>12</v>
      </c>
      <c r="B24" t="s">
        <v>10</v>
      </c>
      <c r="E24" s="6">
        <f>E15</f>
        <v>0</v>
      </c>
      <c r="G24" s="87"/>
      <c r="H24" s="88"/>
      <c r="I24" s="88"/>
      <c r="J24" s="89"/>
      <c r="K24" s="78"/>
      <c r="L24" s="78"/>
      <c r="M24" s="78"/>
    </row>
    <row r="25" spans="1:15" ht="13.5" thickBot="1" x14ac:dyDescent="0.25">
      <c r="E25" s="1"/>
      <c r="G25" s="90"/>
      <c r="H25" s="91"/>
      <c r="I25" s="91"/>
      <c r="J25" s="92"/>
    </row>
    <row r="26" spans="1:15" x14ac:dyDescent="0.2">
      <c r="A26" t="s">
        <v>13</v>
      </c>
      <c r="B26" t="s">
        <v>20</v>
      </c>
      <c r="D26" s="11">
        <f>IF(E19&gt;0,K15*0.02+K16*0.01+K17*0.005,0)</f>
        <v>0</v>
      </c>
      <c r="E26" s="1"/>
    </row>
    <row r="27" spans="1:15" x14ac:dyDescent="0.2">
      <c r="E27" s="1"/>
    </row>
    <row r="28" spans="1:15" x14ac:dyDescent="0.2">
      <c r="A28" t="s">
        <v>14</v>
      </c>
      <c r="B28" t="s">
        <v>11</v>
      </c>
      <c r="E28" s="6">
        <f>E24*D26</f>
        <v>0</v>
      </c>
    </row>
    <row r="29" spans="1:15" x14ac:dyDescent="0.2">
      <c r="E29" s="1"/>
    </row>
    <row r="30" spans="1:15" x14ac:dyDescent="0.2">
      <c r="A30" t="s">
        <v>15</v>
      </c>
      <c r="B30" t="s">
        <v>21</v>
      </c>
      <c r="E30" s="6">
        <f>E24-E28</f>
        <v>0</v>
      </c>
    </row>
    <row r="31" spans="1:15" x14ac:dyDescent="0.2">
      <c r="E31" s="1"/>
    </row>
    <row r="32" spans="1:15" x14ac:dyDescent="0.2">
      <c r="A32" t="s">
        <v>16</v>
      </c>
      <c r="B32" t="s">
        <v>17</v>
      </c>
      <c r="E32" s="6">
        <f>E30*I20*E19/12</f>
        <v>0</v>
      </c>
    </row>
    <row r="33" spans="1:5" x14ac:dyDescent="0.2">
      <c r="E33" s="1"/>
    </row>
    <row r="34" spans="1:5" x14ac:dyDescent="0.2">
      <c r="E34" s="1"/>
    </row>
    <row r="35" spans="1:5" x14ac:dyDescent="0.2">
      <c r="A35" t="s">
        <v>19</v>
      </c>
      <c r="B35" t="s">
        <v>56</v>
      </c>
      <c r="E35" s="3">
        <f>E28+E32</f>
        <v>0</v>
      </c>
    </row>
    <row r="39" spans="1:5" x14ac:dyDescent="0.2">
      <c r="D39" s="1"/>
    </row>
    <row r="47" spans="1:5" x14ac:dyDescent="0.2">
      <c r="C47" s="1"/>
      <c r="D47" s="1"/>
    </row>
    <row r="48" spans="1:5" x14ac:dyDescent="0.2">
      <c r="C48" s="1"/>
      <c r="D48" s="1"/>
    </row>
    <row r="49" spans="3:4" x14ac:dyDescent="0.2">
      <c r="C49" s="1"/>
      <c r="D49" s="7"/>
    </row>
    <row r="50" spans="3:4" x14ac:dyDescent="0.2">
      <c r="C50" s="1"/>
      <c r="D50" s="1"/>
    </row>
    <row r="51" spans="3:4" x14ac:dyDescent="0.2">
      <c r="C51" s="1"/>
      <c r="D51" s="1"/>
    </row>
    <row r="52" spans="3:4" x14ac:dyDescent="0.2">
      <c r="C52" s="1"/>
      <c r="D52" s="1"/>
    </row>
    <row r="53" spans="3:4" x14ac:dyDescent="0.2">
      <c r="C53" s="1"/>
      <c r="D53" s="1"/>
    </row>
    <row r="54" spans="3:4" x14ac:dyDescent="0.2">
      <c r="C54" s="1"/>
      <c r="D54" s="7"/>
    </row>
    <row r="55" spans="3:4" x14ac:dyDescent="0.2">
      <c r="C55" s="1"/>
      <c r="D55" s="1"/>
    </row>
    <row r="56" spans="3:4" x14ac:dyDescent="0.2">
      <c r="C56" s="1"/>
      <c r="D56" s="1"/>
    </row>
    <row r="57" spans="3:4" x14ac:dyDescent="0.2">
      <c r="C57" s="1"/>
      <c r="D57" s="1"/>
    </row>
    <row r="58" spans="3:4" x14ac:dyDescent="0.2">
      <c r="C58" s="1"/>
      <c r="D58" s="1"/>
    </row>
    <row r="59" spans="3:4" x14ac:dyDescent="0.2">
      <c r="C59" s="1"/>
      <c r="D59" s="7"/>
    </row>
    <row r="60" spans="3:4" x14ac:dyDescent="0.2">
      <c r="C60" s="1"/>
      <c r="D60" s="1"/>
    </row>
    <row r="61" spans="3:4" x14ac:dyDescent="0.2">
      <c r="C61" s="1"/>
      <c r="D61" s="7"/>
    </row>
    <row r="62" spans="3:4" x14ac:dyDescent="0.2">
      <c r="C62" s="1"/>
      <c r="D62" s="1"/>
    </row>
    <row r="63" spans="3:4" x14ac:dyDescent="0.2">
      <c r="C63" s="1"/>
      <c r="D63" s="1"/>
    </row>
    <row r="64" spans="3:4" x14ac:dyDescent="0.2">
      <c r="C64" s="1"/>
      <c r="D64" s="1"/>
    </row>
    <row r="65" spans="3:4" x14ac:dyDescent="0.2">
      <c r="C65" s="1"/>
      <c r="D65" s="1"/>
    </row>
    <row r="66" spans="3:4" x14ac:dyDescent="0.2">
      <c r="C66" s="1"/>
      <c r="D66" s="7"/>
    </row>
  </sheetData>
  <sheetProtection algorithmName="SHA-512" hashValue="2uQf6bKJrZRC7uV317DNJn95aDH3bZetqrYpEfwdnF8ZiXE0OukOfZPRQrs8vKAM4kYoYJnPIqSaPJgfdzYD4g==" saltValue="PmQci8kLV0mLIfdyrC2Ixg==" spinCount="100000" sheet="1" objects="1" scenarios="1"/>
  <mergeCells count="7">
    <mergeCell ref="G22:J25"/>
    <mergeCell ref="F12:G12"/>
    <mergeCell ref="B10:C10"/>
    <mergeCell ref="F7:I7"/>
    <mergeCell ref="F8:I8"/>
    <mergeCell ref="F9:I9"/>
    <mergeCell ref="F10:I10"/>
  </mergeCells>
  <phoneticPr fontId="3" type="noConversion"/>
  <pageMargins left="0.78740157480314965" right="0" top="0.98425196850393704" bottom="0.98425196850393704" header="0" footer="0"/>
  <pageSetup paperSize="9" scale="93" orientation="portrait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C06E-3459-4DCD-8717-94CDFEC825AC}">
  <dimension ref="A1:I102"/>
  <sheetViews>
    <sheetView zoomScaleNormal="100" workbookViewId="0"/>
  </sheetViews>
  <sheetFormatPr defaultColWidth="8.85546875" defaultRowHeight="12.75" x14ac:dyDescent="0.2"/>
  <cols>
    <col min="1" max="1" width="45.28515625" customWidth="1"/>
    <col min="2" max="2" width="10.7109375" bestFit="1" customWidth="1"/>
    <col min="3" max="3" width="2.7109375" customWidth="1"/>
    <col min="4" max="4" width="34.28515625" bestFit="1" customWidth="1"/>
    <col min="5" max="5" width="9.28515625" customWidth="1"/>
    <col min="6" max="6" width="11" bestFit="1" customWidth="1"/>
    <col min="8" max="9" width="10.28515625" bestFit="1" customWidth="1"/>
  </cols>
  <sheetData>
    <row r="1" spans="1:9" ht="21" customHeight="1" x14ac:dyDescent="0.25">
      <c r="A1" s="82" t="s">
        <v>65</v>
      </c>
      <c r="B1" s="69"/>
      <c r="D1" s="109" t="s">
        <v>84</v>
      </c>
      <c r="E1" s="110"/>
      <c r="F1" s="111"/>
    </row>
    <row r="2" spans="1:9" ht="12.75" customHeight="1" x14ac:dyDescent="0.2">
      <c r="A2" s="71" t="s">
        <v>111</v>
      </c>
      <c r="B2" s="83" t="s">
        <v>112</v>
      </c>
      <c r="D2" s="106" t="s">
        <v>70</v>
      </c>
      <c r="E2" s="107"/>
      <c r="F2" s="108"/>
      <c r="I2" s="76"/>
    </row>
    <row r="3" spans="1:9" ht="12.75" customHeight="1" x14ac:dyDescent="0.2">
      <c r="A3" s="71" t="s">
        <v>66</v>
      </c>
      <c r="B3" s="72"/>
      <c r="D3" s="28" t="s">
        <v>71</v>
      </c>
      <c r="E3" s="27"/>
      <c r="F3" s="29">
        <f>IF(B7&gt;0,B6*B12,0)</f>
        <v>0</v>
      </c>
      <c r="I3" s="76"/>
    </row>
    <row r="4" spans="1:9" ht="12.75" customHeight="1" x14ac:dyDescent="0.2">
      <c r="A4" s="73" t="s">
        <v>103</v>
      </c>
      <c r="B4" s="70"/>
      <c r="D4" s="28" t="s">
        <v>72</v>
      </c>
      <c r="E4" s="27"/>
      <c r="F4" s="29">
        <f>IF(B2="NEJ",F3,IF(B7&gt;0,MAX(B6-B20,0),0))</f>
        <v>0</v>
      </c>
    </row>
    <row r="5" spans="1:9" ht="12.75" customHeight="1" x14ac:dyDescent="0.2">
      <c r="A5" s="74" t="s">
        <v>96</v>
      </c>
      <c r="B5" s="22"/>
      <c r="D5" s="28" t="s">
        <v>69</v>
      </c>
      <c r="E5" s="27"/>
      <c r="F5" s="29">
        <f>IF(B7&gt;0,MIN(F4-F3,0),0)</f>
        <v>0</v>
      </c>
    </row>
    <row r="6" spans="1:9" ht="12.75" customHeight="1" x14ac:dyDescent="0.2">
      <c r="A6" s="74" t="s">
        <v>97</v>
      </c>
      <c r="B6" s="23"/>
      <c r="D6" s="30" t="s">
        <v>73</v>
      </c>
      <c r="E6" s="31"/>
      <c r="F6" s="32">
        <f>IF(B7&gt;0,F3+F5,0)</f>
        <v>0</v>
      </c>
    </row>
    <row r="7" spans="1:9" ht="12.75" customHeight="1" x14ac:dyDescent="0.2">
      <c r="A7" s="75" t="s">
        <v>98</v>
      </c>
      <c r="B7" s="23"/>
      <c r="D7" s="106" t="s">
        <v>74</v>
      </c>
      <c r="E7" s="107"/>
      <c r="F7" s="108"/>
    </row>
    <row r="8" spans="1:9" ht="12.75" customHeight="1" x14ac:dyDescent="0.2">
      <c r="A8" s="27"/>
      <c r="B8" s="27"/>
      <c r="D8" s="28" t="s">
        <v>11</v>
      </c>
      <c r="E8" s="33">
        <f>IFERROR(IF(B7&lt;&gt;"",(IF(B7&lt;=3,B7*2%,IF(B7&lt;=36,((B7-3)*1%)+6%,((B7-36)*0.5%)+39%))),0)-B12,0)</f>
        <v>0</v>
      </c>
      <c r="F8" s="29">
        <f>ROUND(IF($B$7&gt;0,B20*E8,0),0)</f>
        <v>0</v>
      </c>
    </row>
    <row r="9" spans="1:9" ht="12.75" customHeight="1" x14ac:dyDescent="0.2">
      <c r="A9" s="73" t="s">
        <v>104</v>
      </c>
      <c r="B9" s="24"/>
      <c r="D9" s="28" t="s">
        <v>75</v>
      </c>
      <c r="E9" s="34"/>
      <c r="F9" s="29">
        <f>IF(B7&gt;0,IF(F8&gt;0,B20-F8,0),0)</f>
        <v>0</v>
      </c>
    </row>
    <row r="10" spans="1:9" ht="12.75" customHeight="1" x14ac:dyDescent="0.2">
      <c r="A10" s="74" t="s">
        <v>95</v>
      </c>
      <c r="B10" s="25"/>
      <c r="D10" s="28" t="s">
        <v>76</v>
      </c>
      <c r="E10" s="33">
        <f>IF(B7&gt;0,IF(B4&lt;44562,MIN(B10,4),MIN(B10,3))*(B13/12),0)</f>
        <v>0</v>
      </c>
      <c r="F10" s="29">
        <f>IF($B$7&gt;0,B6*(1-E8-B12)*E10,0)</f>
        <v>0</v>
      </c>
    </row>
    <row r="11" spans="1:9" ht="12.75" customHeight="1" x14ac:dyDescent="0.2">
      <c r="A11" s="74" t="s">
        <v>86</v>
      </c>
      <c r="B11" s="23"/>
      <c r="D11" s="28" t="s">
        <v>77</v>
      </c>
      <c r="E11" s="33">
        <f>IF(B7&lt;&gt;"",((B7-IF(B4&lt;44562,MIN(B10,4),MIN(B10,3)))/12)*B14,0)</f>
        <v>0</v>
      </c>
      <c r="F11" s="29">
        <f>IF($B$7&gt;0,F9*E11,0)</f>
        <v>0</v>
      </c>
    </row>
    <row r="12" spans="1:9" ht="12.75" customHeight="1" x14ac:dyDescent="0.2">
      <c r="A12" s="74" t="s">
        <v>85</v>
      </c>
      <c r="B12" s="66">
        <f>IF(B4&lt;44562,IF(B10&lt;4,B10*2%,7%),MIN(B10*2%,6%))</f>
        <v>0</v>
      </c>
      <c r="D12" s="30" t="s">
        <v>78</v>
      </c>
      <c r="E12" s="31"/>
      <c r="F12" s="32">
        <f>ROUND(IF($B$7&gt;0,F8+F10+F11,0),0)</f>
        <v>0</v>
      </c>
    </row>
    <row r="13" spans="1:9" ht="12.75" customHeight="1" x14ac:dyDescent="0.2">
      <c r="A13" s="74" t="s">
        <v>93</v>
      </c>
      <c r="B13" s="67">
        <f>IFERROR(LOOKUP(B4,Leasingrente!A:B,Leasingrente!C:C),0)</f>
        <v>0</v>
      </c>
      <c r="D13" s="106" t="s">
        <v>79</v>
      </c>
      <c r="E13" s="107"/>
      <c r="F13" s="108"/>
    </row>
    <row r="14" spans="1:9" ht="12.75" customHeight="1" x14ac:dyDescent="0.2">
      <c r="A14" s="75" t="s">
        <v>94</v>
      </c>
      <c r="B14" s="67">
        <f>IFERROR(IF(B4&lt;44562,LOOKUP(MIN(B9,DATE(YEAR(B4),MONTH(B4)+4,DAY(B4)-1)),Leasingrente!A:B,Leasingrente!C:C),LOOKUP(MIN(B9,DATE(YEAR(B4),MONTH(B4)+3,DAY(B4)-1)),Leasingrente!A:B,Leasingrente!C:C)),0)</f>
        <v>0</v>
      </c>
      <c r="D14" s="28" t="s">
        <v>80</v>
      </c>
      <c r="E14" s="27"/>
      <c r="F14" s="29">
        <f>IF($B$7&gt;0,F12,0)</f>
        <v>0</v>
      </c>
    </row>
    <row r="15" spans="1:9" ht="12.75" customHeight="1" x14ac:dyDescent="0.2">
      <c r="D15" s="28" t="s">
        <v>81</v>
      </c>
      <c r="E15" s="27"/>
      <c r="F15" s="29">
        <f>B11*-1</f>
        <v>0</v>
      </c>
    </row>
    <row r="16" spans="1:9" ht="12.75" customHeight="1" x14ac:dyDescent="0.2">
      <c r="A16" s="104" t="s">
        <v>87</v>
      </c>
      <c r="B16" s="105"/>
      <c r="D16" s="28" t="s">
        <v>73</v>
      </c>
      <c r="E16" s="27"/>
      <c r="F16" s="29">
        <f>IF($B$7&gt;0,F6,0)</f>
        <v>0</v>
      </c>
    </row>
    <row r="17" spans="1:6" ht="12.75" customHeight="1" x14ac:dyDescent="0.2">
      <c r="A17" s="35" t="s">
        <v>64</v>
      </c>
      <c r="B17" s="52"/>
      <c r="C17" s="27"/>
      <c r="D17" s="30" t="s">
        <v>82</v>
      </c>
      <c r="E17" s="31"/>
      <c r="F17" s="32">
        <f>IF($B$7&gt;0,F14+F15+F16,0)</f>
        <v>0</v>
      </c>
    </row>
    <row r="18" spans="1:6" ht="12.75" customHeight="1" x14ac:dyDescent="0.2">
      <c r="A18" s="35" t="s">
        <v>99</v>
      </c>
      <c r="B18" s="68">
        <f>B17/(1-B12)</f>
        <v>0</v>
      </c>
      <c r="C18" s="27"/>
      <c r="D18" s="106" t="s">
        <v>88</v>
      </c>
      <c r="E18" s="107"/>
      <c r="F18" s="108"/>
    </row>
    <row r="19" spans="1:6" ht="12.75" customHeight="1" x14ac:dyDescent="0.2">
      <c r="A19" s="35" t="s">
        <v>63</v>
      </c>
      <c r="B19" s="52"/>
      <c r="C19" s="27"/>
      <c r="D19" s="55" t="str">
        <f>IF(B21&lt;B5,"Køretøjet skal ikke genberegnes jf. kontrolberegning","")</f>
        <v/>
      </c>
      <c r="E19" s="53"/>
      <c r="F19" s="54"/>
    </row>
    <row r="20" spans="1:6" ht="12.75" customHeight="1" x14ac:dyDescent="0.2">
      <c r="A20" s="35" t="s">
        <v>67</v>
      </c>
      <c r="B20" s="52"/>
      <c r="C20" s="27"/>
      <c r="D20" s="36" t="s">
        <v>83</v>
      </c>
      <c r="E20" s="27" t="s">
        <v>89</v>
      </c>
      <c r="F20" s="37">
        <f>IFERROR(F15+F10+F16,0)</f>
        <v>0</v>
      </c>
    </row>
    <row r="21" spans="1:6" ht="12.75" customHeight="1" x14ac:dyDescent="0.2">
      <c r="A21" s="35" t="s">
        <v>90</v>
      </c>
      <c r="B21" s="56">
        <f>B19/(1-B12)</f>
        <v>0</v>
      </c>
      <c r="C21" s="27"/>
      <c r="D21" s="38" t="s">
        <v>84</v>
      </c>
      <c r="E21" s="39" t="s">
        <v>91</v>
      </c>
      <c r="F21" s="40">
        <f>IFERROR(F8+F11,0)</f>
        <v>0</v>
      </c>
    </row>
    <row r="22" spans="1:6" ht="12.75" customHeight="1" x14ac:dyDescent="0.2">
      <c r="C22" s="27"/>
      <c r="D22" s="27"/>
      <c r="E22" s="27"/>
      <c r="F22" s="27"/>
    </row>
    <row r="23" spans="1:6" ht="12.75" customHeight="1" x14ac:dyDescent="0.2">
      <c r="B23" s="41"/>
      <c r="C23" s="27"/>
      <c r="D23" s="106" t="s">
        <v>92</v>
      </c>
      <c r="E23" s="107"/>
      <c r="F23" s="108"/>
    </row>
    <row r="24" spans="1:6" ht="12.75" customHeight="1" x14ac:dyDescent="0.2">
      <c r="C24" s="27"/>
      <c r="D24" s="28" t="s">
        <v>68</v>
      </c>
      <c r="F24" s="42">
        <f>IF(B7&gt;0,"",B20)</f>
        <v>0</v>
      </c>
    </row>
    <row r="25" spans="1:6" ht="12.75" customHeight="1" x14ac:dyDescent="0.2">
      <c r="A25" s="26"/>
      <c r="B25" s="43"/>
      <c r="C25" s="27"/>
      <c r="D25" s="28" t="s">
        <v>27</v>
      </c>
      <c r="F25" s="42">
        <f>IF(B7&gt;0,"",B6)</f>
        <v>0</v>
      </c>
    </row>
    <row r="26" spans="1:6" ht="12.75" customHeight="1" x14ac:dyDescent="0.2">
      <c r="A26" s="26"/>
      <c r="B26" s="26"/>
      <c r="C26" s="27"/>
      <c r="D26" s="30" t="s">
        <v>69</v>
      </c>
      <c r="E26" s="44"/>
      <c r="F26" s="45">
        <f>IFERROR(IF(B7&gt;0,"",MAX(F24-F25,0)),0)</f>
        <v>0</v>
      </c>
    </row>
    <row r="27" spans="1:6" ht="12.75" customHeight="1" x14ac:dyDescent="0.2">
      <c r="A27" s="27"/>
      <c r="B27" s="41"/>
      <c r="C27" s="27"/>
    </row>
    <row r="28" spans="1:6" ht="12.75" customHeight="1" x14ac:dyDescent="0.2">
      <c r="A28" s="27"/>
      <c r="B28" s="41"/>
      <c r="C28" s="27"/>
    </row>
    <row r="29" spans="1:6" ht="12.75" customHeight="1" x14ac:dyDescent="0.2">
      <c r="A29" s="26"/>
      <c r="B29" s="43"/>
      <c r="C29" s="27"/>
      <c r="D29" s="46"/>
    </row>
    <row r="30" spans="1:6" ht="13.15" customHeight="1" x14ac:dyDescent="0.2">
      <c r="A30" s="26"/>
      <c r="B30" s="26"/>
      <c r="C30" s="27"/>
    </row>
    <row r="31" spans="1:6" ht="13.15" customHeight="1" x14ac:dyDescent="0.2">
      <c r="A31" s="27"/>
      <c r="B31" s="41"/>
      <c r="C31" s="27"/>
    </row>
    <row r="32" spans="1:6" ht="13.15" customHeight="1" x14ac:dyDescent="0.2">
      <c r="A32" s="27"/>
      <c r="B32" s="41"/>
      <c r="C32" s="27"/>
    </row>
    <row r="33" spans="1:5" ht="13.15" customHeight="1" x14ac:dyDescent="0.2">
      <c r="A33" s="26"/>
      <c r="B33" s="43"/>
      <c r="C33" s="27"/>
    </row>
    <row r="34" spans="1:5" ht="13.15" customHeight="1" x14ac:dyDescent="0.2">
      <c r="A34" s="26"/>
      <c r="B34" s="26"/>
      <c r="C34" s="27"/>
    </row>
    <row r="35" spans="1:5" ht="13.15" customHeight="1" x14ac:dyDescent="0.2">
      <c r="A35" s="26"/>
      <c r="B35" s="43"/>
      <c r="C35" s="27"/>
    </row>
    <row r="36" spans="1:5" ht="13.15" customHeight="1" x14ac:dyDescent="0.2">
      <c r="A36" s="26"/>
      <c r="B36" s="43"/>
      <c r="C36" s="27"/>
    </row>
    <row r="37" spans="1:5" ht="13.15" customHeight="1" x14ac:dyDescent="0.2">
      <c r="A37" s="27"/>
      <c r="B37" s="41"/>
      <c r="C37" s="27"/>
    </row>
    <row r="38" spans="1:5" ht="13.15" customHeight="1" x14ac:dyDescent="0.2">
      <c r="A38" s="27"/>
      <c r="B38" s="41"/>
      <c r="C38" s="27"/>
    </row>
    <row r="39" spans="1:5" ht="13.15" customHeight="1" x14ac:dyDescent="0.2">
      <c r="C39" s="27"/>
    </row>
    <row r="40" spans="1:5" ht="13.15" customHeight="1" x14ac:dyDescent="0.2">
      <c r="C40" s="47"/>
    </row>
    <row r="41" spans="1:5" ht="13.15" customHeight="1" x14ac:dyDescent="0.2">
      <c r="C41" s="47"/>
    </row>
    <row r="42" spans="1:5" ht="13.15" customHeight="1" x14ac:dyDescent="0.2"/>
    <row r="43" spans="1:5" ht="13.15" customHeight="1" x14ac:dyDescent="0.2">
      <c r="E43" s="48"/>
    </row>
    <row r="44" spans="1:5" ht="13.15" customHeight="1" x14ac:dyDescent="0.2">
      <c r="D44" s="49"/>
      <c r="E44" s="1"/>
    </row>
    <row r="45" spans="1:5" ht="13.15" customHeight="1" x14ac:dyDescent="0.2">
      <c r="D45" s="49"/>
    </row>
    <row r="46" spans="1:5" ht="13.15" customHeight="1" x14ac:dyDescent="0.2">
      <c r="D46" s="49"/>
      <c r="E46" s="1"/>
    </row>
    <row r="47" spans="1:5" ht="13.15" customHeight="1" x14ac:dyDescent="0.2">
      <c r="D47" s="49"/>
    </row>
    <row r="48" spans="1:5" ht="13.15" customHeight="1" x14ac:dyDescent="0.2">
      <c r="D48" s="49"/>
    </row>
    <row r="49" spans="4:5" ht="13.15" customHeight="1" x14ac:dyDescent="0.2">
      <c r="D49" s="50"/>
      <c r="E49" s="1"/>
    </row>
    <row r="50" spans="4:5" ht="13.15" customHeight="1" x14ac:dyDescent="0.2">
      <c r="D50" s="51"/>
      <c r="E50" s="1"/>
    </row>
    <row r="51" spans="4:5" ht="13.15" customHeight="1" x14ac:dyDescent="0.2">
      <c r="D51" s="51"/>
      <c r="E51" s="1"/>
    </row>
    <row r="52" spans="4:5" ht="13.15" customHeight="1" x14ac:dyDescent="0.2">
      <c r="D52" s="51"/>
      <c r="E52" s="1"/>
    </row>
    <row r="53" spans="4:5" ht="13.15" customHeight="1" x14ac:dyDescent="0.2">
      <c r="D53" s="51"/>
      <c r="E53" s="1"/>
    </row>
    <row r="54" spans="4:5" ht="13.15" customHeight="1" x14ac:dyDescent="0.2">
      <c r="D54" s="51"/>
    </row>
    <row r="55" spans="4:5" ht="13.15" customHeight="1" x14ac:dyDescent="0.2">
      <c r="D55" s="51"/>
    </row>
    <row r="56" spans="4:5" ht="13.15" customHeight="1" x14ac:dyDescent="0.2">
      <c r="D56" s="51"/>
    </row>
    <row r="57" spans="4:5" ht="13.15" customHeight="1" x14ac:dyDescent="0.2">
      <c r="D57" s="49"/>
    </row>
    <row r="58" spans="4:5" ht="13.15" customHeight="1" x14ac:dyDescent="0.2"/>
    <row r="59" spans="4:5" ht="13.15" customHeight="1" x14ac:dyDescent="0.2"/>
    <row r="60" spans="4:5" ht="13.15" customHeight="1" x14ac:dyDescent="0.2"/>
    <row r="61" spans="4:5" ht="13.15" customHeight="1" x14ac:dyDescent="0.2"/>
    <row r="62" spans="4:5" ht="13.15" customHeight="1" x14ac:dyDescent="0.2"/>
    <row r="63" spans="4:5" ht="13.15" customHeight="1" x14ac:dyDescent="0.2"/>
    <row r="64" spans="4:5" ht="13.15" customHeight="1" x14ac:dyDescent="0.2"/>
    <row r="65" ht="13.15" customHeight="1" x14ac:dyDescent="0.2"/>
    <row r="66" ht="13.15" customHeight="1" x14ac:dyDescent="0.2"/>
    <row r="67" ht="13.15" customHeight="1" x14ac:dyDescent="0.2"/>
    <row r="68" ht="13.15" customHeight="1" x14ac:dyDescent="0.2"/>
    <row r="69" ht="13.15" customHeight="1" x14ac:dyDescent="0.2"/>
    <row r="70" ht="13.15" customHeight="1" x14ac:dyDescent="0.2"/>
    <row r="71" ht="13.15" customHeight="1" x14ac:dyDescent="0.2"/>
    <row r="72" ht="13.15" customHeight="1" x14ac:dyDescent="0.2"/>
    <row r="73" ht="13.15" customHeight="1" x14ac:dyDescent="0.2"/>
    <row r="74" ht="13.15" customHeight="1" x14ac:dyDescent="0.2"/>
    <row r="75" ht="13.15" customHeight="1" x14ac:dyDescent="0.2"/>
    <row r="76" ht="13.15" customHeight="1" x14ac:dyDescent="0.2"/>
    <row r="77" ht="13.15" customHeight="1" x14ac:dyDescent="0.2"/>
    <row r="78" ht="13.15" customHeight="1" x14ac:dyDescent="0.2"/>
    <row r="79" ht="13.15" customHeight="1" x14ac:dyDescent="0.2"/>
    <row r="80" ht="13.15" customHeight="1" x14ac:dyDescent="0.2"/>
    <row r="81" ht="13.15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  <row r="86" ht="13.15" customHeight="1" x14ac:dyDescent="0.2"/>
    <row r="87" ht="13.15" customHeight="1" x14ac:dyDescent="0.2"/>
    <row r="88" ht="13.15" customHeight="1" x14ac:dyDescent="0.2"/>
    <row r="89" ht="13.15" customHeight="1" x14ac:dyDescent="0.2"/>
    <row r="90" ht="13.15" customHeight="1" x14ac:dyDescent="0.2"/>
    <row r="91" ht="13.15" customHeight="1" x14ac:dyDescent="0.2"/>
    <row r="92" ht="13.15" customHeight="1" x14ac:dyDescent="0.2"/>
    <row r="93" ht="13.15" customHeight="1" x14ac:dyDescent="0.2"/>
    <row r="94" ht="13.15" customHeight="1" x14ac:dyDescent="0.2"/>
    <row r="95" ht="13.15" customHeight="1" x14ac:dyDescent="0.2"/>
    <row r="96" ht="13.15" customHeight="1" x14ac:dyDescent="0.2"/>
    <row r="97" ht="13.15" customHeight="1" x14ac:dyDescent="0.2"/>
    <row r="98" ht="13.15" customHeight="1" x14ac:dyDescent="0.2"/>
    <row r="99" ht="13.15" customHeight="1" x14ac:dyDescent="0.2"/>
    <row r="100" ht="13.15" customHeight="1" x14ac:dyDescent="0.2"/>
    <row r="101" ht="13.15" customHeight="1" x14ac:dyDescent="0.2"/>
    <row r="102" ht="13.15" customHeight="1" x14ac:dyDescent="0.2"/>
  </sheetData>
  <sheetProtection algorithmName="SHA-512" hashValue="etveXuYiurWhP5uyFOjH4VJJKOh74InIar364TMYYSwGCLJ3ZHe8AOPlJtUhobGu+SJOpzRSCEmCqpYYVeVH4w==" saltValue="g58aDnsDvCeBaE5ATTQQqQ==" spinCount="100000" sheet="1" objects="1" scenarios="1"/>
  <mergeCells count="7">
    <mergeCell ref="A16:B16"/>
    <mergeCell ref="D18:F18"/>
    <mergeCell ref="D23:F23"/>
    <mergeCell ref="D1:F1"/>
    <mergeCell ref="D2:F2"/>
    <mergeCell ref="D7:F7"/>
    <mergeCell ref="D13:F13"/>
  </mergeCells>
  <conditionalFormatting sqref="E1:F1048576">
    <cfRule type="expression" dxfId="0" priority="3">
      <formula>$B$21&lt;$B$5</formula>
    </cfRule>
  </conditionalFormatting>
  <dataValidations count="5">
    <dataValidation allowBlank="1" showInputMessage="1" showErrorMessage="1" promptTitle="OBS" prompt="Den fulde afgift fra den oprindelige aftale." sqref="B6" xr:uid="{C2091D2F-0EE9-44B3-BC31-6B8F1C97D2A8}"/>
    <dataValidation allowBlank="1" showInputMessage="1" showErrorMessage="1" promptTitle="OBS" prompt="Skal være den afgiftspligtige værdi fra den oprindelige leasingaftale." sqref="B5" xr:uid="{D08DFBB1-52A2-4B1C-864F-4D42E3F0FF8F}"/>
    <dataValidation allowBlank="1" sqref="B10:B12 B7" xr:uid="{AE4685EC-F708-4766-A879-E54E3DA9E742}"/>
    <dataValidation type="date" operator="greaterThan" allowBlank="1" showInputMessage="1" showErrorMessage="1" errorTitle="FEJL" error="Genberegningsdatoen skal være efter første registreringsdato." sqref="B9" xr:uid="{7CF4DF2E-C655-422B-8A32-D92B0A06F042}">
      <formula1>B4</formula1>
    </dataValidation>
    <dataValidation type="list" allowBlank="1" showInputMessage="1" showErrorMessage="1" sqref="B2" xr:uid="{8378A5E0-8A96-4FFF-9592-55E8D96D0846}">
      <formula1>"JA,NEJ"</formula1>
    </dataValidation>
  </dataValidations>
  <pageMargins left="0.25" right="0.25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workbookViewId="0">
      <selection activeCell="L7" sqref="L7"/>
    </sheetView>
  </sheetViews>
  <sheetFormatPr defaultRowHeight="12.75" x14ac:dyDescent="0.2"/>
  <cols>
    <col min="1" max="1" width="3.7109375" customWidth="1"/>
    <col min="2" max="2" width="15.5703125" customWidth="1"/>
    <col min="3" max="4" width="14.7109375" customWidth="1"/>
  </cols>
  <sheetData>
    <row r="1" spans="1:9" ht="15.75" x14ac:dyDescent="0.25">
      <c r="A1" s="2" t="s">
        <v>48</v>
      </c>
      <c r="G1" s="5" t="s">
        <v>114</v>
      </c>
    </row>
    <row r="2" spans="1:9" ht="15" x14ac:dyDescent="0.25">
      <c r="A2" s="4" t="s">
        <v>46</v>
      </c>
    </row>
    <row r="3" spans="1:9" ht="15" x14ac:dyDescent="0.25">
      <c r="A3" s="4"/>
    </row>
    <row r="4" spans="1:9" x14ac:dyDescent="0.2">
      <c r="B4" s="13" t="s">
        <v>108</v>
      </c>
      <c r="C4" s="13" t="s">
        <v>51</v>
      </c>
      <c r="D4" s="13" t="s">
        <v>50</v>
      </c>
      <c r="F4" s="13" t="s">
        <v>38</v>
      </c>
      <c r="I4" s="13" t="s">
        <v>47</v>
      </c>
    </row>
    <row r="5" spans="1:9" x14ac:dyDescent="0.2">
      <c r="B5" s="15"/>
      <c r="C5" s="15"/>
      <c r="D5" s="15"/>
      <c r="F5" s="15"/>
      <c r="I5" s="15"/>
    </row>
    <row r="7" spans="1:9" x14ac:dyDescent="0.2">
      <c r="B7" s="14" t="s">
        <v>39</v>
      </c>
      <c r="F7" s="14" t="s">
        <v>40</v>
      </c>
    </row>
    <row r="8" spans="1:9" x14ac:dyDescent="0.2">
      <c r="B8" s="13" t="s">
        <v>41</v>
      </c>
      <c r="C8" s="13" t="s">
        <v>42</v>
      </c>
      <c r="F8" s="95"/>
      <c r="G8" s="96"/>
      <c r="H8" s="96"/>
      <c r="I8" s="97"/>
    </row>
    <row r="9" spans="1:9" x14ac:dyDescent="0.2">
      <c r="B9" s="15"/>
      <c r="C9" s="15"/>
      <c r="F9" s="98"/>
      <c r="G9" s="99"/>
      <c r="H9" s="99"/>
      <c r="I9" s="100"/>
    </row>
    <row r="10" spans="1:9" x14ac:dyDescent="0.2">
      <c r="B10" s="13" t="s">
        <v>43</v>
      </c>
      <c r="D10" s="13" t="s">
        <v>55</v>
      </c>
      <c r="F10" s="98"/>
      <c r="G10" s="99"/>
      <c r="H10" s="99"/>
      <c r="I10" s="100"/>
    </row>
    <row r="11" spans="1:9" x14ac:dyDescent="0.2">
      <c r="B11" s="93"/>
      <c r="C11" s="94"/>
      <c r="D11" s="19"/>
      <c r="F11" s="101"/>
      <c r="G11" s="102"/>
      <c r="H11" s="102"/>
      <c r="I11" s="103"/>
    </row>
    <row r="12" spans="1:9" x14ac:dyDescent="0.2">
      <c r="F12" s="17" t="s">
        <v>49</v>
      </c>
    </row>
    <row r="13" spans="1:9" x14ac:dyDescent="0.2">
      <c r="F13" s="93"/>
      <c r="G13" s="94"/>
    </row>
    <row r="14" spans="1:9" x14ac:dyDescent="0.2">
      <c r="A14" s="5" t="s">
        <v>45</v>
      </c>
      <c r="G14" s="9" t="s">
        <v>4</v>
      </c>
      <c r="H14" s="9"/>
      <c r="I14" s="9"/>
    </row>
    <row r="15" spans="1:9" x14ac:dyDescent="0.2">
      <c r="G15" s="9"/>
      <c r="H15" s="9"/>
      <c r="I15" s="9"/>
    </row>
    <row r="16" spans="1:9" x14ac:dyDescent="0.2">
      <c r="B16" t="s">
        <v>23</v>
      </c>
      <c r="E16" s="12"/>
      <c r="G16" s="9" t="s">
        <v>5</v>
      </c>
      <c r="H16" s="9"/>
      <c r="I16" s="9"/>
    </row>
    <row r="17" spans="1:11" x14ac:dyDescent="0.2">
      <c r="E17" s="1"/>
      <c r="G17" s="9" t="s">
        <v>8</v>
      </c>
      <c r="H17" s="9"/>
      <c r="I17" s="65">
        <v>0.02</v>
      </c>
      <c r="K17" s="8">
        <f>IF(E22&lt;3,IF(E24+E22&lt;4,E24,3-E22),0)</f>
        <v>0</v>
      </c>
    </row>
    <row r="18" spans="1:11" x14ac:dyDescent="0.2">
      <c r="B18" t="s">
        <v>2</v>
      </c>
      <c r="E18" s="12"/>
      <c r="G18" s="9" t="s">
        <v>7</v>
      </c>
      <c r="H18" s="9"/>
      <c r="I18" s="65">
        <v>0.01</v>
      </c>
      <c r="K18" s="8">
        <f>IF(E22&gt;36,0,IF(E24&gt;(36-E22),36-E22-K17,E24-K17))</f>
        <v>0</v>
      </c>
    </row>
    <row r="19" spans="1:11" x14ac:dyDescent="0.2">
      <c r="E19" s="1"/>
      <c r="G19" s="9" t="s">
        <v>6</v>
      </c>
      <c r="H19" s="9"/>
      <c r="I19" s="65">
        <v>5.0000000000000001E-3</v>
      </c>
      <c r="K19" s="8"/>
    </row>
    <row r="20" spans="1:11" x14ac:dyDescent="0.2">
      <c r="B20" t="s">
        <v>27</v>
      </c>
      <c r="E20" s="12"/>
      <c r="G20" s="9"/>
      <c r="H20" s="9"/>
      <c r="I20" s="65"/>
      <c r="K20" s="8"/>
    </row>
    <row r="21" spans="1:11" ht="13.5" x14ac:dyDescent="0.25">
      <c r="E21" s="1"/>
      <c r="G21" s="9" t="s">
        <v>105</v>
      </c>
      <c r="I21" s="77">
        <f>LOOKUP(IF(B5="",46023,B5),Leasingrente!A:B,Leasingrente!C:C)</f>
        <v>3.7999999999999999E-2</v>
      </c>
      <c r="K21" s="8">
        <f>E24-K17-K18</f>
        <v>0</v>
      </c>
    </row>
    <row r="22" spans="1:11" x14ac:dyDescent="0.2">
      <c r="B22" t="s">
        <v>24</v>
      </c>
      <c r="E22" s="81"/>
      <c r="G22" s="9"/>
      <c r="H22" s="9"/>
      <c r="I22" s="65"/>
      <c r="K22" s="16"/>
    </row>
    <row r="23" spans="1:11" ht="13.15" customHeight="1" x14ac:dyDescent="0.2">
      <c r="E23" s="1"/>
      <c r="G23" s="112" t="s">
        <v>109</v>
      </c>
      <c r="H23" s="112"/>
      <c r="I23" s="112"/>
      <c r="J23" s="112"/>
      <c r="K23" s="79"/>
    </row>
    <row r="24" spans="1:11" ht="13.15" customHeight="1" x14ac:dyDescent="0.2">
      <c r="A24" s="5" t="s">
        <v>25</v>
      </c>
      <c r="E24" s="12"/>
      <c r="G24" s="112"/>
      <c r="H24" s="112"/>
      <c r="I24" s="112"/>
      <c r="J24" s="112"/>
      <c r="K24" s="80"/>
    </row>
    <row r="25" spans="1:11" x14ac:dyDescent="0.2">
      <c r="E25" s="1"/>
      <c r="G25" s="112" t="s">
        <v>113</v>
      </c>
      <c r="H25" s="112"/>
      <c r="I25" s="112"/>
      <c r="J25" s="112"/>
      <c r="K25" s="79"/>
    </row>
    <row r="26" spans="1:11" ht="13.15" customHeight="1" x14ac:dyDescent="0.2">
      <c r="E26" s="1"/>
      <c r="G26" s="112"/>
      <c r="H26" s="112"/>
      <c r="I26" s="112"/>
      <c r="J26" s="112"/>
      <c r="K26" s="79"/>
    </row>
    <row r="27" spans="1:11" x14ac:dyDescent="0.2">
      <c r="A27" s="5" t="s">
        <v>9</v>
      </c>
      <c r="E27" s="1"/>
      <c r="K27" s="79"/>
    </row>
    <row r="28" spans="1:11" x14ac:dyDescent="0.2">
      <c r="E28" s="1"/>
    </row>
    <row r="29" spans="1:11" x14ac:dyDescent="0.2">
      <c r="A29" t="s">
        <v>12</v>
      </c>
      <c r="B29" t="s">
        <v>10</v>
      </c>
      <c r="E29" s="6">
        <f>E18</f>
        <v>0</v>
      </c>
    </row>
    <row r="30" spans="1:11" x14ac:dyDescent="0.2">
      <c r="E30" s="1"/>
    </row>
    <row r="31" spans="1:11" x14ac:dyDescent="0.2">
      <c r="A31" t="s">
        <v>13</v>
      </c>
      <c r="B31" t="s">
        <v>20</v>
      </c>
      <c r="D31" s="11">
        <f>IF(E24&gt;0,K17*0.02+K18*0.01+K21*0.005,0)</f>
        <v>0</v>
      </c>
      <c r="E31" s="1"/>
    </row>
    <row r="32" spans="1:11" x14ac:dyDescent="0.2">
      <c r="E32" s="1"/>
    </row>
    <row r="33" spans="1:5" x14ac:dyDescent="0.2">
      <c r="A33" t="s">
        <v>14</v>
      </c>
      <c r="B33" t="s">
        <v>26</v>
      </c>
      <c r="E33" s="6">
        <f>E29*D31</f>
        <v>0</v>
      </c>
    </row>
    <row r="34" spans="1:5" x14ac:dyDescent="0.2">
      <c r="E34" s="1"/>
    </row>
    <row r="35" spans="1:5" x14ac:dyDescent="0.2">
      <c r="A35" t="s">
        <v>15</v>
      </c>
      <c r="B35" t="s">
        <v>27</v>
      </c>
      <c r="E35" s="6">
        <f>E20</f>
        <v>0</v>
      </c>
    </row>
    <row r="36" spans="1:5" x14ac:dyDescent="0.2">
      <c r="E36" s="1"/>
    </row>
    <row r="37" spans="1:5" x14ac:dyDescent="0.2">
      <c r="A37" t="s">
        <v>16</v>
      </c>
      <c r="B37" t="s">
        <v>29</v>
      </c>
      <c r="E37" s="6">
        <f>E29-E33-E35</f>
        <v>0</v>
      </c>
    </row>
    <row r="38" spans="1:5" x14ac:dyDescent="0.2">
      <c r="E38" s="1"/>
    </row>
    <row r="39" spans="1:5" x14ac:dyDescent="0.2">
      <c r="A39" t="s">
        <v>18</v>
      </c>
      <c r="B39" t="s">
        <v>17</v>
      </c>
      <c r="E39" s="6">
        <f>E37*(I21*E24/12)</f>
        <v>0</v>
      </c>
    </row>
    <row r="40" spans="1:5" x14ac:dyDescent="0.2">
      <c r="E40" s="1"/>
    </row>
    <row r="41" spans="1:5" x14ac:dyDescent="0.2">
      <c r="E41" s="1"/>
    </row>
    <row r="42" spans="1:5" x14ac:dyDescent="0.2">
      <c r="A42" t="s">
        <v>28</v>
      </c>
      <c r="B42" t="s">
        <v>57</v>
      </c>
      <c r="E42" s="3">
        <f>E33+E39</f>
        <v>0</v>
      </c>
    </row>
    <row r="46" spans="1:5" x14ac:dyDescent="0.2">
      <c r="D46" s="1"/>
    </row>
    <row r="54" spans="3:4" x14ac:dyDescent="0.2">
      <c r="C54" s="1"/>
      <c r="D54" s="1"/>
    </row>
    <row r="55" spans="3:4" x14ac:dyDescent="0.2">
      <c r="C55" s="1"/>
      <c r="D55" s="1"/>
    </row>
    <row r="56" spans="3:4" x14ac:dyDescent="0.2">
      <c r="C56" s="1"/>
      <c r="D56" s="7"/>
    </row>
    <row r="57" spans="3:4" x14ac:dyDescent="0.2">
      <c r="C57" s="1"/>
      <c r="D57" s="1"/>
    </row>
    <row r="58" spans="3:4" x14ac:dyDescent="0.2">
      <c r="C58" s="1"/>
      <c r="D58" s="1"/>
    </row>
    <row r="59" spans="3:4" x14ac:dyDescent="0.2">
      <c r="C59" s="1"/>
      <c r="D59" s="1"/>
    </row>
    <row r="60" spans="3:4" x14ac:dyDescent="0.2">
      <c r="C60" s="1"/>
      <c r="D60" s="1"/>
    </row>
    <row r="61" spans="3:4" x14ac:dyDescent="0.2">
      <c r="C61" s="1"/>
      <c r="D61" s="7"/>
    </row>
    <row r="62" spans="3:4" x14ac:dyDescent="0.2">
      <c r="C62" s="1"/>
      <c r="D62" s="1"/>
    </row>
    <row r="63" spans="3:4" x14ac:dyDescent="0.2">
      <c r="C63" s="1"/>
      <c r="D63" s="1"/>
    </row>
    <row r="64" spans="3:4" x14ac:dyDescent="0.2">
      <c r="C64" s="1"/>
      <c r="D64" s="1"/>
    </row>
    <row r="65" spans="3:4" x14ac:dyDescent="0.2">
      <c r="C65" s="1"/>
      <c r="D65" s="1"/>
    </row>
    <row r="66" spans="3:4" x14ac:dyDescent="0.2">
      <c r="C66" s="1"/>
      <c r="D66" s="7"/>
    </row>
    <row r="67" spans="3:4" x14ac:dyDescent="0.2">
      <c r="C67" s="1"/>
      <c r="D67" s="1"/>
    </row>
    <row r="68" spans="3:4" x14ac:dyDescent="0.2">
      <c r="C68" s="1"/>
      <c r="D68" s="7"/>
    </row>
    <row r="69" spans="3:4" x14ac:dyDescent="0.2">
      <c r="C69" s="1"/>
      <c r="D69" s="1"/>
    </row>
    <row r="70" spans="3:4" x14ac:dyDescent="0.2">
      <c r="C70" s="1"/>
      <c r="D70" s="1"/>
    </row>
    <row r="71" spans="3:4" x14ac:dyDescent="0.2">
      <c r="C71" s="1"/>
      <c r="D71" s="1"/>
    </row>
    <row r="72" spans="3:4" x14ac:dyDescent="0.2">
      <c r="C72" s="1"/>
      <c r="D72" s="1"/>
    </row>
    <row r="73" spans="3:4" x14ac:dyDescent="0.2">
      <c r="C73" s="1"/>
      <c r="D73" s="7"/>
    </row>
  </sheetData>
  <sheetProtection algorithmName="SHA-512" hashValue="peb3DgGqHYIDy7xNHYL7p5ZWJ8ryt6xwUvF9RTwGOQZKU/g5dO/M5pbUa38uZpd1U1P248b+Zm9vQvjltQtvWw==" saltValue="W/geJJxwvXB5FBbSqd3CYg==" spinCount="100000" sheet="1" objects="1" scenarios="1"/>
  <mergeCells count="8">
    <mergeCell ref="F8:I8"/>
    <mergeCell ref="F9:I9"/>
    <mergeCell ref="F10:I10"/>
    <mergeCell ref="G23:J24"/>
    <mergeCell ref="G25:J26"/>
    <mergeCell ref="B11:C11"/>
    <mergeCell ref="F11:I11"/>
    <mergeCell ref="F13:G13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7"/>
  <sheetViews>
    <sheetView workbookViewId="0">
      <selection activeCell="B8" sqref="B8"/>
    </sheetView>
  </sheetViews>
  <sheetFormatPr defaultRowHeight="12.75" x14ac:dyDescent="0.2"/>
  <cols>
    <col min="1" max="1" width="3.7109375" customWidth="1"/>
    <col min="2" max="2" width="15.7109375" customWidth="1"/>
    <col min="3" max="3" width="12.7109375" customWidth="1"/>
    <col min="4" max="4" width="11.85546875" bestFit="1" customWidth="1"/>
  </cols>
  <sheetData>
    <row r="1" spans="1:11" ht="15.75" x14ac:dyDescent="0.25">
      <c r="A1" s="2" t="s">
        <v>48</v>
      </c>
      <c r="G1" s="5"/>
    </row>
    <row r="2" spans="1:11" ht="15" x14ac:dyDescent="0.25">
      <c r="A2" s="4" t="s">
        <v>30</v>
      </c>
    </row>
    <row r="3" spans="1:11" x14ac:dyDescent="0.2">
      <c r="F3" s="13" t="s">
        <v>38</v>
      </c>
      <c r="I3" s="13" t="s">
        <v>47</v>
      </c>
    </row>
    <row r="4" spans="1:11" x14ac:dyDescent="0.2">
      <c r="F4" s="15"/>
      <c r="I4" s="15"/>
    </row>
    <row r="6" spans="1:11" x14ac:dyDescent="0.2">
      <c r="B6" s="14" t="s">
        <v>39</v>
      </c>
      <c r="F6" s="14" t="s">
        <v>40</v>
      </c>
    </row>
    <row r="7" spans="1:11" x14ac:dyDescent="0.2">
      <c r="B7" s="13" t="s">
        <v>41</v>
      </c>
      <c r="C7" s="13" t="s">
        <v>42</v>
      </c>
      <c r="F7" s="95"/>
      <c r="G7" s="96"/>
      <c r="H7" s="96"/>
      <c r="I7" s="97"/>
    </row>
    <row r="8" spans="1:11" x14ac:dyDescent="0.2">
      <c r="B8" s="15"/>
      <c r="C8" s="15"/>
      <c r="F8" s="98"/>
      <c r="G8" s="99"/>
      <c r="H8" s="99"/>
      <c r="I8" s="100"/>
    </row>
    <row r="9" spans="1:11" x14ac:dyDescent="0.2">
      <c r="B9" s="13" t="s">
        <v>43</v>
      </c>
      <c r="D9" s="13" t="s">
        <v>44</v>
      </c>
      <c r="F9" s="98"/>
      <c r="G9" s="99"/>
      <c r="H9" s="99"/>
      <c r="I9" s="100"/>
    </row>
    <row r="10" spans="1:11" x14ac:dyDescent="0.2">
      <c r="B10" s="93"/>
      <c r="C10" s="94"/>
      <c r="D10" s="15"/>
      <c r="F10" s="101"/>
      <c r="G10" s="102"/>
      <c r="H10" s="102"/>
      <c r="I10" s="103"/>
    </row>
    <row r="11" spans="1:11" x14ac:dyDescent="0.2">
      <c r="F11" s="17" t="s">
        <v>49</v>
      </c>
    </row>
    <row r="12" spans="1:11" x14ac:dyDescent="0.2">
      <c r="F12" s="93"/>
      <c r="G12" s="94"/>
    </row>
    <row r="13" spans="1:11" x14ac:dyDescent="0.2">
      <c r="A13" s="5" t="s">
        <v>0</v>
      </c>
      <c r="G13" s="9"/>
      <c r="H13" s="9"/>
      <c r="I13" s="9"/>
    </row>
    <row r="14" spans="1:11" x14ac:dyDescent="0.2">
      <c r="G14" s="9"/>
      <c r="H14" s="9"/>
      <c r="I14" s="9"/>
    </row>
    <row r="15" spans="1:11" x14ac:dyDescent="0.2">
      <c r="B15" t="s">
        <v>61</v>
      </c>
      <c r="E15" s="12"/>
      <c r="G15" s="9"/>
      <c r="H15" s="9"/>
      <c r="I15" s="9"/>
    </row>
    <row r="16" spans="1:11" x14ac:dyDescent="0.2">
      <c r="E16" s="1"/>
      <c r="G16" s="9"/>
      <c r="H16" s="9"/>
      <c r="I16" s="10"/>
      <c r="K16" s="8"/>
    </row>
    <row r="17" spans="1:9" x14ac:dyDescent="0.2">
      <c r="B17" t="s">
        <v>62</v>
      </c>
      <c r="E17" s="12"/>
      <c r="G17" s="9"/>
      <c r="H17" s="9"/>
      <c r="I17" s="9"/>
    </row>
    <row r="18" spans="1:9" x14ac:dyDescent="0.2">
      <c r="E18" s="1"/>
      <c r="G18" s="9"/>
      <c r="H18" s="9"/>
      <c r="I18" s="10"/>
    </row>
    <row r="19" spans="1:9" x14ac:dyDescent="0.2">
      <c r="B19" t="s">
        <v>31</v>
      </c>
      <c r="E19" s="12"/>
      <c r="G19" s="9"/>
      <c r="H19" s="9"/>
      <c r="I19" s="10"/>
    </row>
    <row r="20" spans="1:9" x14ac:dyDescent="0.2">
      <c r="E20" s="1"/>
    </row>
    <row r="21" spans="1:9" x14ac:dyDescent="0.2">
      <c r="E21" s="1"/>
    </row>
    <row r="22" spans="1:9" x14ac:dyDescent="0.2">
      <c r="A22" s="5" t="s">
        <v>9</v>
      </c>
      <c r="E22" s="1"/>
    </row>
    <row r="23" spans="1:9" x14ac:dyDescent="0.2">
      <c r="E23" s="1"/>
    </row>
    <row r="24" spans="1:9" x14ac:dyDescent="0.2">
      <c r="A24" t="s">
        <v>12</v>
      </c>
      <c r="B24" t="s">
        <v>10</v>
      </c>
      <c r="E24" s="6">
        <f>E15</f>
        <v>0</v>
      </c>
    </row>
    <row r="25" spans="1:9" x14ac:dyDescent="0.2">
      <c r="E25" s="1"/>
    </row>
    <row r="26" spans="1:9" x14ac:dyDescent="0.2">
      <c r="A26" t="s">
        <v>13</v>
      </c>
      <c r="B26" t="s">
        <v>32</v>
      </c>
      <c r="D26" s="11">
        <f>IF(G26&gt;0,G26,0)</f>
        <v>0</v>
      </c>
      <c r="E26" s="1"/>
      <c r="G26" s="20">
        <f>IF(E17&gt;0,(E15-E17)/E15,0)</f>
        <v>0</v>
      </c>
    </row>
    <row r="27" spans="1:9" x14ac:dyDescent="0.2">
      <c r="E27" s="1"/>
    </row>
    <row r="28" spans="1:9" x14ac:dyDescent="0.2">
      <c r="A28" t="s">
        <v>14</v>
      </c>
      <c r="B28" t="s">
        <v>33</v>
      </c>
      <c r="E28" s="6">
        <f>IF(E19&gt;0,E24*D26,0)</f>
        <v>0</v>
      </c>
    </row>
    <row r="29" spans="1:9" x14ac:dyDescent="0.2">
      <c r="E29" s="1"/>
    </row>
    <row r="30" spans="1:9" x14ac:dyDescent="0.2">
      <c r="A30" t="s">
        <v>15</v>
      </c>
      <c r="B30" t="s">
        <v>31</v>
      </c>
      <c r="E30" s="6">
        <f>E19</f>
        <v>0</v>
      </c>
    </row>
    <row r="31" spans="1:9" x14ac:dyDescent="0.2">
      <c r="E31" s="1"/>
    </row>
    <row r="32" spans="1:9" x14ac:dyDescent="0.2">
      <c r="A32" t="s">
        <v>16</v>
      </c>
      <c r="B32" t="s">
        <v>34</v>
      </c>
      <c r="E32" s="3">
        <f>IF(E30&gt;E28,E30-E28,0)</f>
        <v>0</v>
      </c>
    </row>
    <row r="33" spans="1:5" x14ac:dyDescent="0.2">
      <c r="E33" s="1"/>
    </row>
    <row r="34" spans="1:5" x14ac:dyDescent="0.2">
      <c r="A34" t="s">
        <v>18</v>
      </c>
      <c r="B34" t="s">
        <v>35</v>
      </c>
      <c r="E34" s="3">
        <f>IF(E28&gt;E30,E28-E30,0)</f>
        <v>0</v>
      </c>
    </row>
    <row r="35" spans="1:5" x14ac:dyDescent="0.2">
      <c r="E35" s="1"/>
    </row>
    <row r="36" spans="1:5" x14ac:dyDescent="0.2">
      <c r="A36" t="s">
        <v>19</v>
      </c>
      <c r="B36" t="s">
        <v>36</v>
      </c>
      <c r="E36" s="3">
        <f>E15-E28</f>
        <v>0</v>
      </c>
    </row>
    <row r="40" spans="1:5" x14ac:dyDescent="0.2">
      <c r="D40" s="1"/>
    </row>
    <row r="48" spans="1:5" x14ac:dyDescent="0.2">
      <c r="C48" s="1"/>
      <c r="D48" s="1"/>
    </row>
    <row r="49" spans="3:4" x14ac:dyDescent="0.2">
      <c r="C49" s="1"/>
      <c r="D49" s="1"/>
    </row>
    <row r="50" spans="3:4" x14ac:dyDescent="0.2">
      <c r="C50" s="1"/>
      <c r="D50" s="7"/>
    </row>
    <row r="51" spans="3:4" x14ac:dyDescent="0.2">
      <c r="C51" s="1"/>
      <c r="D51" s="1"/>
    </row>
    <row r="52" spans="3:4" x14ac:dyDescent="0.2">
      <c r="C52" s="1"/>
      <c r="D52" s="1"/>
    </row>
    <row r="53" spans="3:4" x14ac:dyDescent="0.2">
      <c r="C53" s="1"/>
      <c r="D53" s="1"/>
    </row>
    <row r="54" spans="3:4" x14ac:dyDescent="0.2">
      <c r="C54" s="1"/>
      <c r="D54" s="1"/>
    </row>
    <row r="55" spans="3:4" x14ac:dyDescent="0.2">
      <c r="C55" s="1"/>
      <c r="D55" s="7"/>
    </row>
    <row r="56" spans="3:4" x14ac:dyDescent="0.2">
      <c r="C56" s="1"/>
      <c r="D56" s="1"/>
    </row>
    <row r="57" spans="3:4" x14ac:dyDescent="0.2">
      <c r="C57" s="1"/>
      <c r="D57" s="1"/>
    </row>
    <row r="58" spans="3:4" x14ac:dyDescent="0.2">
      <c r="C58" s="1"/>
      <c r="D58" s="1"/>
    </row>
    <row r="59" spans="3:4" x14ac:dyDescent="0.2">
      <c r="C59" s="1"/>
      <c r="D59" s="1"/>
    </row>
    <row r="60" spans="3:4" x14ac:dyDescent="0.2">
      <c r="C60" s="1"/>
      <c r="D60" s="7"/>
    </row>
    <row r="61" spans="3:4" x14ac:dyDescent="0.2">
      <c r="C61" s="1"/>
      <c r="D61" s="1"/>
    </row>
    <row r="62" spans="3:4" x14ac:dyDescent="0.2">
      <c r="C62" s="1"/>
      <c r="D62" s="7"/>
    </row>
    <row r="63" spans="3:4" x14ac:dyDescent="0.2">
      <c r="C63" s="1"/>
      <c r="D63" s="1"/>
    </row>
    <row r="64" spans="3:4" x14ac:dyDescent="0.2">
      <c r="C64" s="1"/>
      <c r="D64" s="1"/>
    </row>
    <row r="65" spans="3:4" x14ac:dyDescent="0.2">
      <c r="C65" s="1"/>
      <c r="D65" s="1"/>
    </row>
    <row r="66" spans="3:4" x14ac:dyDescent="0.2">
      <c r="C66" s="1"/>
      <c r="D66" s="1"/>
    </row>
    <row r="67" spans="3:4" x14ac:dyDescent="0.2">
      <c r="C67" s="1"/>
      <c r="D67" s="7"/>
    </row>
  </sheetData>
  <sheetProtection algorithmName="SHA-512" hashValue="FjDnE2vYh6Jud7RkGLmoLERfgvHOCKoFJHddvezFHRsvibbngcFnLNIrxgv9X8PQq02dcOvSMab9VjKG2w1MMQ==" saltValue="dAc6j86yfTsx98ntsgeOvw==" spinCount="100000" sheet="1" objects="1" scenarios="1"/>
  <mergeCells count="6">
    <mergeCell ref="B10:C10"/>
    <mergeCell ref="F10:I10"/>
    <mergeCell ref="F12:G12"/>
    <mergeCell ref="F7:I7"/>
    <mergeCell ref="F8:I8"/>
    <mergeCell ref="F9:I9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1"/>
  <sheetViews>
    <sheetView workbookViewId="0">
      <selection activeCell="L25" sqref="L25"/>
    </sheetView>
  </sheetViews>
  <sheetFormatPr defaultRowHeight="12.75" x14ac:dyDescent="0.2"/>
  <cols>
    <col min="1" max="1" width="3.7109375" customWidth="1"/>
    <col min="2" max="2" width="17.7109375" customWidth="1"/>
    <col min="3" max="3" width="12.7109375" customWidth="1"/>
  </cols>
  <sheetData>
    <row r="1" spans="1:11" ht="15.75" x14ac:dyDescent="0.25">
      <c r="A1" s="2" t="s">
        <v>48</v>
      </c>
      <c r="G1" s="5"/>
    </row>
    <row r="2" spans="1:11" ht="15" x14ac:dyDescent="0.25">
      <c r="A2" s="4" t="s">
        <v>58</v>
      </c>
    </row>
    <row r="3" spans="1:11" x14ac:dyDescent="0.2">
      <c r="B3" s="13" t="s">
        <v>51</v>
      </c>
      <c r="C3" s="13" t="s">
        <v>50</v>
      </c>
      <c r="F3" s="13" t="s">
        <v>38</v>
      </c>
      <c r="I3" s="13" t="s">
        <v>47</v>
      </c>
    </row>
    <row r="4" spans="1:11" x14ac:dyDescent="0.2">
      <c r="B4" s="15"/>
      <c r="C4" s="15"/>
      <c r="F4" s="15"/>
      <c r="I4" s="15"/>
    </row>
    <row r="6" spans="1:11" x14ac:dyDescent="0.2">
      <c r="B6" s="14" t="s">
        <v>39</v>
      </c>
      <c r="F6" s="14" t="s">
        <v>40</v>
      </c>
    </row>
    <row r="7" spans="1:11" x14ac:dyDescent="0.2">
      <c r="B7" s="13" t="s">
        <v>41</v>
      </c>
      <c r="C7" s="13" t="s">
        <v>42</v>
      </c>
      <c r="D7" s="13" t="s">
        <v>55</v>
      </c>
      <c r="F7" s="95"/>
      <c r="G7" s="96"/>
      <c r="H7" s="96"/>
      <c r="I7" s="97"/>
    </row>
    <row r="8" spans="1:11" x14ac:dyDescent="0.2">
      <c r="B8" s="15"/>
      <c r="C8" s="15"/>
      <c r="D8" s="15"/>
      <c r="F8" s="98"/>
      <c r="G8" s="99"/>
      <c r="H8" s="99"/>
      <c r="I8" s="100"/>
    </row>
    <row r="9" spans="1:11" x14ac:dyDescent="0.2">
      <c r="B9" s="13" t="s">
        <v>43</v>
      </c>
      <c r="D9" s="13" t="s">
        <v>44</v>
      </c>
      <c r="F9" s="98"/>
      <c r="G9" s="99"/>
      <c r="H9" s="99"/>
      <c r="I9" s="100"/>
    </row>
    <row r="10" spans="1:11" x14ac:dyDescent="0.2">
      <c r="B10" s="93"/>
      <c r="C10" s="94"/>
      <c r="D10" s="15"/>
      <c r="F10" s="101"/>
      <c r="G10" s="102"/>
      <c r="H10" s="102"/>
      <c r="I10" s="103"/>
    </row>
    <row r="11" spans="1:11" x14ac:dyDescent="0.2">
      <c r="F11" s="17" t="s">
        <v>49</v>
      </c>
    </row>
    <row r="12" spans="1:11" x14ac:dyDescent="0.2">
      <c r="F12" s="93"/>
      <c r="G12" s="94"/>
    </row>
    <row r="13" spans="1:11" x14ac:dyDescent="0.2">
      <c r="A13" s="5" t="s">
        <v>52</v>
      </c>
      <c r="G13" s="9" t="s">
        <v>4</v>
      </c>
      <c r="H13" s="9"/>
      <c r="I13" s="9"/>
    </row>
    <row r="14" spans="1:11" x14ac:dyDescent="0.2">
      <c r="G14" s="9"/>
      <c r="H14" s="9"/>
      <c r="I14" s="9"/>
    </row>
    <row r="15" spans="1:11" x14ac:dyDescent="0.2">
      <c r="B15" t="s">
        <v>1</v>
      </c>
      <c r="E15" s="12"/>
      <c r="G15" s="9" t="s">
        <v>5</v>
      </c>
      <c r="H15" s="9"/>
      <c r="I15" s="9"/>
    </row>
    <row r="16" spans="1:11" x14ac:dyDescent="0.2">
      <c r="E16" s="1"/>
      <c r="G16" s="9" t="s">
        <v>8</v>
      </c>
      <c r="H16" s="9"/>
      <c r="I16" s="65">
        <v>0.02</v>
      </c>
      <c r="K16" s="8">
        <f>IF(E19&lt;3,IF(E21+E19&lt;4,E21,3-E19),0)</f>
        <v>0</v>
      </c>
    </row>
    <row r="17" spans="1:11" x14ac:dyDescent="0.2">
      <c r="B17" t="s">
        <v>2</v>
      </c>
      <c r="E17" s="12"/>
      <c r="G17" s="9" t="s">
        <v>7</v>
      </c>
      <c r="H17" s="9"/>
      <c r="I17" s="65">
        <v>0.01</v>
      </c>
      <c r="K17" s="8">
        <f>IF(E19&gt;36,0,IF(E21&gt;(36-E19),36-E19-K16,E21-K16))</f>
        <v>0</v>
      </c>
    </row>
    <row r="18" spans="1:11" x14ac:dyDescent="0.2">
      <c r="E18" s="1"/>
      <c r="G18" s="9" t="s">
        <v>6</v>
      </c>
      <c r="H18" s="9"/>
      <c r="I18" s="65">
        <v>5.0000000000000001E-3</v>
      </c>
      <c r="K18" s="8">
        <f>E21-K16-K17</f>
        <v>0</v>
      </c>
    </row>
    <row r="19" spans="1:11" x14ac:dyDescent="0.2">
      <c r="B19" t="s">
        <v>3</v>
      </c>
      <c r="E19" s="12"/>
      <c r="G19" s="9"/>
      <c r="H19" s="9"/>
      <c r="I19" s="9"/>
      <c r="K19" s="8"/>
    </row>
    <row r="20" spans="1:11" x14ac:dyDescent="0.2">
      <c r="E20" s="1"/>
      <c r="G20" s="9" t="s">
        <v>106</v>
      </c>
      <c r="H20" s="9"/>
      <c r="I20" s="10">
        <f>LOOKUP(IF(B4="",46023,B4),Leasingrente!A:B,Leasingrente!C:C)</f>
        <v>3.7999999999999999E-2</v>
      </c>
      <c r="K20" s="8">
        <f>E23-K16-K17</f>
        <v>0</v>
      </c>
    </row>
    <row r="21" spans="1:11" x14ac:dyDescent="0.2">
      <c r="A21" s="5" t="s">
        <v>22</v>
      </c>
      <c r="E21" s="12"/>
      <c r="G21" s="9"/>
      <c r="H21" s="9"/>
      <c r="I21" s="10"/>
    </row>
    <row r="22" spans="1:11" x14ac:dyDescent="0.2">
      <c r="E22" s="1"/>
    </row>
    <row r="23" spans="1:11" ht="13.15" customHeight="1" x14ac:dyDescent="0.2">
      <c r="E23" s="1"/>
      <c r="G23" s="113" t="s">
        <v>116</v>
      </c>
      <c r="H23" s="113"/>
      <c r="I23" s="113"/>
      <c r="J23" s="113"/>
    </row>
    <row r="24" spans="1:11" x14ac:dyDescent="0.2">
      <c r="A24" s="5" t="s">
        <v>9</v>
      </c>
      <c r="E24" s="1"/>
      <c r="G24" s="113"/>
      <c r="H24" s="113"/>
      <c r="I24" s="113"/>
      <c r="J24" s="113"/>
    </row>
    <row r="25" spans="1:11" x14ac:dyDescent="0.2">
      <c r="E25" s="1"/>
      <c r="G25" s="113"/>
      <c r="H25" s="113"/>
      <c r="I25" s="113"/>
      <c r="J25" s="113"/>
    </row>
    <row r="26" spans="1:11" x14ac:dyDescent="0.2">
      <c r="A26" t="s">
        <v>12</v>
      </c>
      <c r="B26" t="s">
        <v>10</v>
      </c>
      <c r="E26" s="6">
        <f>E17</f>
        <v>0</v>
      </c>
      <c r="G26" s="113"/>
      <c r="H26" s="113"/>
      <c r="I26" s="113"/>
      <c r="J26" s="113"/>
    </row>
    <row r="27" spans="1:11" x14ac:dyDescent="0.2">
      <c r="E27" s="1"/>
      <c r="G27" s="113"/>
      <c r="H27" s="113"/>
      <c r="I27" s="113"/>
      <c r="J27" s="113"/>
    </row>
    <row r="28" spans="1:11" x14ac:dyDescent="0.2">
      <c r="A28" t="s">
        <v>13</v>
      </c>
      <c r="B28" t="s">
        <v>20</v>
      </c>
      <c r="D28" s="11">
        <f>IF(E21&gt;0,K16*0.02+K17*0.01+K18*0.005,0)</f>
        <v>0</v>
      </c>
      <c r="E28" s="1"/>
    </row>
    <row r="29" spans="1:11" x14ac:dyDescent="0.2">
      <c r="E29" s="1"/>
    </row>
    <row r="30" spans="1:11" x14ac:dyDescent="0.2">
      <c r="A30" t="s">
        <v>14</v>
      </c>
      <c r="B30" t="s">
        <v>11</v>
      </c>
      <c r="E30" s="6">
        <f>E26*D28</f>
        <v>0</v>
      </c>
    </row>
    <row r="31" spans="1:11" x14ac:dyDescent="0.2">
      <c r="E31" s="1"/>
    </row>
    <row r="32" spans="1:11" x14ac:dyDescent="0.2">
      <c r="A32" t="s">
        <v>15</v>
      </c>
      <c r="B32" t="s">
        <v>21</v>
      </c>
      <c r="E32" s="6">
        <f>E26-E30</f>
        <v>0</v>
      </c>
    </row>
    <row r="33" spans="1:5" x14ac:dyDescent="0.2">
      <c r="E33" s="1"/>
    </row>
    <row r="34" spans="1:5" x14ac:dyDescent="0.2">
      <c r="A34" t="s">
        <v>16</v>
      </c>
      <c r="B34" t="s">
        <v>17</v>
      </c>
      <c r="E34" s="6">
        <f>E32*I20*E21/12</f>
        <v>0</v>
      </c>
    </row>
    <row r="35" spans="1:5" x14ac:dyDescent="0.2">
      <c r="E35" s="1"/>
    </row>
    <row r="36" spans="1:5" x14ac:dyDescent="0.2">
      <c r="A36" t="s">
        <v>19</v>
      </c>
      <c r="B36" t="s">
        <v>57</v>
      </c>
      <c r="E36" s="3">
        <f>E30+E34</f>
        <v>0</v>
      </c>
    </row>
    <row r="37" spans="1:5" x14ac:dyDescent="0.2">
      <c r="E37" s="1"/>
    </row>
    <row r="38" spans="1:5" x14ac:dyDescent="0.2">
      <c r="B38" s="5" t="s">
        <v>53</v>
      </c>
      <c r="E38" s="18"/>
    </row>
    <row r="39" spans="1:5" x14ac:dyDescent="0.2">
      <c r="E39" s="1"/>
    </row>
    <row r="40" spans="1:5" x14ac:dyDescent="0.2">
      <c r="B40" s="5" t="s">
        <v>54</v>
      </c>
      <c r="E40" s="3">
        <f>E38-E36</f>
        <v>0</v>
      </c>
    </row>
    <row r="44" spans="1:5" x14ac:dyDescent="0.2">
      <c r="D44" s="1"/>
    </row>
    <row r="52" spans="3:4" x14ac:dyDescent="0.2">
      <c r="C52" s="1"/>
      <c r="D52" s="1"/>
    </row>
    <row r="53" spans="3:4" x14ac:dyDescent="0.2">
      <c r="C53" s="1"/>
      <c r="D53" s="1"/>
    </row>
    <row r="54" spans="3:4" x14ac:dyDescent="0.2">
      <c r="C54" s="1"/>
      <c r="D54" s="7"/>
    </row>
    <row r="55" spans="3:4" x14ac:dyDescent="0.2">
      <c r="C55" s="1"/>
      <c r="D55" s="1"/>
    </row>
    <row r="56" spans="3:4" x14ac:dyDescent="0.2">
      <c r="C56" s="1"/>
      <c r="D56" s="1"/>
    </row>
    <row r="57" spans="3:4" x14ac:dyDescent="0.2">
      <c r="C57" s="1"/>
      <c r="D57" s="1"/>
    </row>
    <row r="58" spans="3:4" x14ac:dyDescent="0.2">
      <c r="C58" s="1"/>
      <c r="D58" s="1"/>
    </row>
    <row r="59" spans="3:4" x14ac:dyDescent="0.2">
      <c r="C59" s="1"/>
      <c r="D59" s="7"/>
    </row>
    <row r="60" spans="3:4" x14ac:dyDescent="0.2">
      <c r="C60" s="1"/>
      <c r="D60" s="1"/>
    </row>
    <row r="61" spans="3:4" x14ac:dyDescent="0.2">
      <c r="C61" s="1"/>
      <c r="D61" s="1"/>
    </row>
    <row r="62" spans="3:4" x14ac:dyDescent="0.2">
      <c r="C62" s="1"/>
      <c r="D62" s="1"/>
    </row>
    <row r="63" spans="3:4" x14ac:dyDescent="0.2">
      <c r="C63" s="1"/>
      <c r="D63" s="1"/>
    </row>
    <row r="64" spans="3:4" x14ac:dyDescent="0.2">
      <c r="C64" s="1"/>
      <c r="D64" s="7"/>
    </row>
    <row r="65" spans="3:4" x14ac:dyDescent="0.2">
      <c r="C65" s="1"/>
      <c r="D65" s="1"/>
    </row>
    <row r="66" spans="3:4" x14ac:dyDescent="0.2">
      <c r="C66" s="1"/>
      <c r="D66" s="7"/>
    </row>
    <row r="67" spans="3:4" x14ac:dyDescent="0.2">
      <c r="C67" s="1"/>
      <c r="D67" s="1"/>
    </row>
    <row r="68" spans="3:4" x14ac:dyDescent="0.2">
      <c r="C68" s="1"/>
      <c r="D68" s="1"/>
    </row>
    <row r="69" spans="3:4" x14ac:dyDescent="0.2">
      <c r="C69" s="1"/>
      <c r="D69" s="1"/>
    </row>
    <row r="70" spans="3:4" x14ac:dyDescent="0.2">
      <c r="C70" s="1"/>
      <c r="D70" s="1"/>
    </row>
    <row r="71" spans="3:4" x14ac:dyDescent="0.2">
      <c r="C71" s="1"/>
      <c r="D71" s="7"/>
    </row>
  </sheetData>
  <sheetProtection algorithmName="SHA-512" hashValue="rPN2Uztyv5RODPhHDzAqEnT7fsS3fFJqCqhca097oVPqNdaivSD+cbLc8zW1omdGmYdqd0xJUfaw4qwwpTMC6w==" saltValue="SNXERrp0j/zrcB+4GAK6Lg==" spinCount="100000" sheet="1" objects="1" scenarios="1"/>
  <mergeCells count="7">
    <mergeCell ref="G23:J27"/>
    <mergeCell ref="B10:C10"/>
    <mergeCell ref="F10:I10"/>
    <mergeCell ref="F12:G12"/>
    <mergeCell ref="F7:I7"/>
    <mergeCell ref="F8:I8"/>
    <mergeCell ref="F9:I9"/>
  </mergeCells>
  <phoneticPr fontId="3" type="noConversion"/>
  <pageMargins left="0.75" right="0.35" top="1" bottom="1" header="0" footer="0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2"/>
  <sheetViews>
    <sheetView workbookViewId="0">
      <selection activeCell="N19" sqref="N19"/>
    </sheetView>
  </sheetViews>
  <sheetFormatPr defaultRowHeight="12.75" x14ac:dyDescent="0.2"/>
  <cols>
    <col min="1" max="1" width="3.7109375" customWidth="1"/>
    <col min="2" max="2" width="15.7109375" customWidth="1"/>
    <col min="3" max="4" width="14.7109375" customWidth="1"/>
    <col min="5" max="5" width="11.7109375" customWidth="1"/>
  </cols>
  <sheetData>
    <row r="1" spans="1:9" ht="15.75" x14ac:dyDescent="0.25">
      <c r="A1" s="2" t="s">
        <v>48</v>
      </c>
      <c r="G1" s="5"/>
    </row>
    <row r="2" spans="1:9" ht="15" x14ac:dyDescent="0.25">
      <c r="A2" s="4" t="s">
        <v>59</v>
      </c>
    </row>
    <row r="3" spans="1:9" ht="15" x14ac:dyDescent="0.25">
      <c r="A3" s="4"/>
    </row>
    <row r="4" spans="1:9" x14ac:dyDescent="0.2">
      <c r="B4" s="13" t="s">
        <v>108</v>
      </c>
      <c r="C4" s="13" t="s">
        <v>51</v>
      </c>
      <c r="D4" s="13" t="s">
        <v>50</v>
      </c>
      <c r="F4" s="13" t="s">
        <v>38</v>
      </c>
      <c r="I4" s="13" t="s">
        <v>47</v>
      </c>
    </row>
    <row r="5" spans="1:9" x14ac:dyDescent="0.2">
      <c r="B5" s="15"/>
      <c r="C5" s="15"/>
      <c r="D5" s="15"/>
      <c r="F5" s="15"/>
      <c r="I5" s="15"/>
    </row>
    <row r="7" spans="1:9" x14ac:dyDescent="0.2">
      <c r="B7" s="14" t="s">
        <v>39</v>
      </c>
      <c r="F7" s="14" t="s">
        <v>40</v>
      </c>
    </row>
    <row r="8" spans="1:9" x14ac:dyDescent="0.2">
      <c r="B8" s="13" t="s">
        <v>41</v>
      </c>
      <c r="C8" s="13" t="s">
        <v>42</v>
      </c>
      <c r="D8" s="13" t="s">
        <v>55</v>
      </c>
      <c r="F8" s="95"/>
      <c r="G8" s="96"/>
      <c r="H8" s="96"/>
      <c r="I8" s="97"/>
    </row>
    <row r="9" spans="1:9" x14ac:dyDescent="0.2">
      <c r="B9" s="15"/>
      <c r="C9" s="15"/>
      <c r="D9" s="15"/>
      <c r="F9" s="98"/>
      <c r="G9" s="99"/>
      <c r="H9" s="99"/>
      <c r="I9" s="100"/>
    </row>
    <row r="10" spans="1:9" x14ac:dyDescent="0.2">
      <c r="B10" s="13" t="s">
        <v>43</v>
      </c>
      <c r="D10" s="13" t="s">
        <v>44</v>
      </c>
      <c r="F10" s="98"/>
      <c r="G10" s="99"/>
      <c r="H10" s="99"/>
      <c r="I10" s="100"/>
    </row>
    <row r="11" spans="1:9" x14ac:dyDescent="0.2">
      <c r="B11" s="93"/>
      <c r="C11" s="94"/>
      <c r="D11" s="15"/>
      <c r="F11" s="101"/>
      <c r="G11" s="102"/>
      <c r="H11" s="102"/>
      <c r="I11" s="103"/>
    </row>
    <row r="12" spans="1:9" x14ac:dyDescent="0.2">
      <c r="F12" s="17" t="s">
        <v>49</v>
      </c>
    </row>
    <row r="13" spans="1:9" x14ac:dyDescent="0.2">
      <c r="F13" s="93"/>
      <c r="G13" s="94"/>
    </row>
    <row r="14" spans="1:9" x14ac:dyDescent="0.2">
      <c r="A14" s="5" t="s">
        <v>52</v>
      </c>
      <c r="G14" s="9" t="s">
        <v>4</v>
      </c>
      <c r="H14" s="9"/>
      <c r="I14" s="9"/>
    </row>
    <row r="15" spans="1:9" x14ac:dyDescent="0.2">
      <c r="G15" s="9"/>
      <c r="H15" s="9"/>
      <c r="I15" s="9"/>
    </row>
    <row r="16" spans="1:9" x14ac:dyDescent="0.2">
      <c r="B16" t="s">
        <v>1</v>
      </c>
      <c r="E16" s="12"/>
      <c r="G16" s="9" t="s">
        <v>5</v>
      </c>
      <c r="H16" s="9"/>
      <c r="I16" s="9"/>
    </row>
    <row r="17" spans="1:11" x14ac:dyDescent="0.2">
      <c r="E17" s="1"/>
      <c r="G17" s="9" t="s">
        <v>8</v>
      </c>
      <c r="H17" s="9"/>
      <c r="I17" s="65">
        <v>0.02</v>
      </c>
      <c r="K17" s="8">
        <f>IF(E22&lt;3,IF(E24+E22&lt;4,E24,3-E22),0)</f>
        <v>0</v>
      </c>
    </row>
    <row r="18" spans="1:11" x14ac:dyDescent="0.2">
      <c r="B18" t="s">
        <v>2</v>
      </c>
      <c r="E18" s="12"/>
      <c r="G18" s="9" t="s">
        <v>7</v>
      </c>
      <c r="H18" s="9"/>
      <c r="I18" s="65">
        <v>0.01</v>
      </c>
      <c r="K18" s="8">
        <f>IF(E22&gt;36,0,IF(E24&gt;(36-E22),36-E22-K17,E24-K17))</f>
        <v>0</v>
      </c>
    </row>
    <row r="19" spans="1:11" x14ac:dyDescent="0.2">
      <c r="E19" s="1"/>
      <c r="G19" s="9" t="s">
        <v>6</v>
      </c>
      <c r="H19" s="9"/>
      <c r="I19" s="65">
        <v>5.0000000000000001E-3</v>
      </c>
      <c r="K19" s="8">
        <f>E24-K17-K18</f>
        <v>0</v>
      </c>
    </row>
    <row r="20" spans="1:11" x14ac:dyDescent="0.2">
      <c r="B20" t="s">
        <v>27</v>
      </c>
      <c r="E20" s="12"/>
      <c r="G20" s="9"/>
      <c r="H20" s="9"/>
      <c r="I20" s="9"/>
      <c r="K20" s="8"/>
    </row>
    <row r="21" spans="1:11" x14ac:dyDescent="0.2">
      <c r="G21" s="9" t="s">
        <v>107</v>
      </c>
      <c r="H21" s="9"/>
      <c r="I21" s="10">
        <f>LOOKUP(IF(B5="",46023,B5),Leasingrente!A:B,Leasingrente!C:C)</f>
        <v>3.7999999999999999E-2</v>
      </c>
      <c r="K21" s="8">
        <f>E26-K17-K18</f>
        <v>0</v>
      </c>
    </row>
    <row r="22" spans="1:11" x14ac:dyDescent="0.2">
      <c r="B22" t="s">
        <v>3</v>
      </c>
      <c r="E22" s="12"/>
      <c r="G22" s="9"/>
      <c r="H22" s="9"/>
      <c r="I22" s="10"/>
    </row>
    <row r="23" spans="1:11" x14ac:dyDescent="0.2">
      <c r="E23" s="1"/>
      <c r="G23" s="112" t="s">
        <v>110</v>
      </c>
      <c r="H23" s="112"/>
      <c r="I23" s="112"/>
      <c r="J23" s="112"/>
    </row>
    <row r="24" spans="1:11" ht="13.15" customHeight="1" x14ac:dyDescent="0.2">
      <c r="A24" s="5" t="s">
        <v>22</v>
      </c>
      <c r="E24" s="12"/>
      <c r="G24" s="112"/>
      <c r="H24" s="112"/>
      <c r="I24" s="112"/>
      <c r="J24" s="112"/>
    </row>
    <row r="25" spans="1:11" x14ac:dyDescent="0.2">
      <c r="E25" s="1"/>
      <c r="G25" s="112" t="s">
        <v>113</v>
      </c>
      <c r="H25" s="112"/>
      <c r="I25" s="112"/>
      <c r="J25" s="112"/>
    </row>
    <row r="26" spans="1:11" ht="13.15" customHeight="1" x14ac:dyDescent="0.2">
      <c r="E26" s="1"/>
      <c r="G26" s="112"/>
      <c r="H26" s="112"/>
      <c r="I26" s="112"/>
      <c r="J26" s="112"/>
    </row>
    <row r="27" spans="1:11" x14ac:dyDescent="0.2">
      <c r="A27" s="5" t="s">
        <v>9</v>
      </c>
      <c r="E27" s="1"/>
    </row>
    <row r="28" spans="1:11" x14ac:dyDescent="0.2">
      <c r="E28" s="1"/>
    </row>
    <row r="29" spans="1:11" x14ac:dyDescent="0.2">
      <c r="A29" t="s">
        <v>12</v>
      </c>
      <c r="B29" t="s">
        <v>10</v>
      </c>
      <c r="E29" s="6">
        <f>E18</f>
        <v>0</v>
      </c>
    </row>
    <row r="30" spans="1:11" x14ac:dyDescent="0.2">
      <c r="E30" s="1"/>
    </row>
    <row r="31" spans="1:11" x14ac:dyDescent="0.2">
      <c r="A31" t="s">
        <v>13</v>
      </c>
      <c r="B31" t="s">
        <v>20</v>
      </c>
      <c r="D31" s="11">
        <f>IF(E24&gt;0,K17*0.02+K18*0.01+K19*0.005,0)</f>
        <v>0</v>
      </c>
      <c r="E31" s="1"/>
    </row>
    <row r="32" spans="1:11" x14ac:dyDescent="0.2">
      <c r="E32" s="1"/>
    </row>
    <row r="33" spans="1:5" x14ac:dyDescent="0.2">
      <c r="A33" t="s">
        <v>14</v>
      </c>
      <c r="B33" t="s">
        <v>11</v>
      </c>
      <c r="E33" s="6">
        <f>E29*D31</f>
        <v>0</v>
      </c>
    </row>
    <row r="34" spans="1:5" x14ac:dyDescent="0.2">
      <c r="E34" s="1"/>
    </row>
    <row r="35" spans="1:5" x14ac:dyDescent="0.2">
      <c r="A35" t="s">
        <v>15</v>
      </c>
      <c r="B35" t="s">
        <v>27</v>
      </c>
      <c r="E35" s="6">
        <f>E20</f>
        <v>0</v>
      </c>
    </row>
    <row r="37" spans="1:5" x14ac:dyDescent="0.2">
      <c r="A37" t="s">
        <v>16</v>
      </c>
      <c r="B37" t="s">
        <v>21</v>
      </c>
      <c r="E37" s="6">
        <f>E29-E33-E35</f>
        <v>0</v>
      </c>
    </row>
    <row r="38" spans="1:5" x14ac:dyDescent="0.2">
      <c r="E38" s="1"/>
    </row>
    <row r="39" spans="1:5" x14ac:dyDescent="0.2">
      <c r="A39" t="s">
        <v>18</v>
      </c>
      <c r="B39" t="s">
        <v>17</v>
      </c>
      <c r="E39" s="6">
        <f>E37*I21*E24/12</f>
        <v>0</v>
      </c>
    </row>
    <row r="40" spans="1:5" x14ac:dyDescent="0.2">
      <c r="E40" s="1"/>
    </row>
    <row r="41" spans="1:5" x14ac:dyDescent="0.2">
      <c r="A41" t="s">
        <v>19</v>
      </c>
      <c r="B41" t="s">
        <v>60</v>
      </c>
      <c r="E41" s="3">
        <f>E33+E39</f>
        <v>0</v>
      </c>
    </row>
    <row r="42" spans="1:5" x14ac:dyDescent="0.2">
      <c r="E42" s="1"/>
    </row>
    <row r="43" spans="1:5" x14ac:dyDescent="0.2">
      <c r="B43" s="5" t="s">
        <v>53</v>
      </c>
      <c r="E43" s="18"/>
    </row>
    <row r="44" spans="1:5" x14ac:dyDescent="0.2">
      <c r="E44" s="1"/>
    </row>
    <row r="45" spans="1:5" x14ac:dyDescent="0.2">
      <c r="B45" s="5" t="s">
        <v>54</v>
      </c>
      <c r="E45" s="3">
        <f>E43-E41</f>
        <v>0</v>
      </c>
    </row>
    <row r="53" spans="3:4" x14ac:dyDescent="0.2">
      <c r="C53" s="1"/>
      <c r="D53" s="1"/>
    </row>
    <row r="54" spans="3:4" x14ac:dyDescent="0.2">
      <c r="C54" s="1"/>
      <c r="D54" s="1"/>
    </row>
    <row r="55" spans="3:4" x14ac:dyDescent="0.2">
      <c r="C55" s="1"/>
      <c r="D55" s="7"/>
    </row>
    <row r="56" spans="3:4" x14ac:dyDescent="0.2">
      <c r="C56" s="1"/>
      <c r="D56" s="1"/>
    </row>
    <row r="57" spans="3:4" x14ac:dyDescent="0.2">
      <c r="C57" s="1"/>
      <c r="D57" s="1"/>
    </row>
    <row r="58" spans="3:4" x14ac:dyDescent="0.2">
      <c r="C58" s="1"/>
      <c r="D58" s="1"/>
    </row>
    <row r="59" spans="3:4" x14ac:dyDescent="0.2">
      <c r="C59" s="1"/>
      <c r="D59" s="1"/>
    </row>
    <row r="60" spans="3:4" x14ac:dyDescent="0.2">
      <c r="C60" s="1"/>
      <c r="D60" s="7"/>
    </row>
    <row r="61" spans="3:4" x14ac:dyDescent="0.2">
      <c r="C61" s="1"/>
      <c r="D61" s="1"/>
    </row>
    <row r="62" spans="3:4" x14ac:dyDescent="0.2">
      <c r="C62" s="1"/>
      <c r="D62" s="1"/>
    </row>
    <row r="63" spans="3:4" x14ac:dyDescent="0.2">
      <c r="C63" s="1"/>
      <c r="D63" s="1"/>
    </row>
    <row r="64" spans="3:4" x14ac:dyDescent="0.2">
      <c r="C64" s="1"/>
      <c r="D64" s="1"/>
    </row>
    <row r="65" spans="3:4" x14ac:dyDescent="0.2">
      <c r="C65" s="1"/>
      <c r="D65" s="7"/>
    </row>
    <row r="66" spans="3:4" x14ac:dyDescent="0.2">
      <c r="C66" s="1"/>
      <c r="D66" s="1"/>
    </row>
    <row r="67" spans="3:4" x14ac:dyDescent="0.2">
      <c r="C67" s="1"/>
      <c r="D67" s="7"/>
    </row>
    <row r="68" spans="3:4" x14ac:dyDescent="0.2">
      <c r="C68" s="1"/>
      <c r="D68" s="1"/>
    </row>
    <row r="69" spans="3:4" x14ac:dyDescent="0.2">
      <c r="C69" s="1"/>
      <c r="D69" s="1"/>
    </row>
    <row r="70" spans="3:4" x14ac:dyDescent="0.2">
      <c r="C70" s="1"/>
      <c r="D70" s="1"/>
    </row>
    <row r="71" spans="3:4" x14ac:dyDescent="0.2">
      <c r="C71" s="1"/>
      <c r="D71" s="1"/>
    </row>
    <row r="72" spans="3:4" x14ac:dyDescent="0.2">
      <c r="C72" s="1"/>
      <c r="D72" s="7"/>
    </row>
  </sheetData>
  <sheetProtection algorithmName="SHA-512" hashValue="oNlMF4DsOmFtBRMrCScwJDAotaa+BkritcvwgxnFkQ76pVRcxkhJEMoH7YgbKiJhqzv0VDcyAnuOAyhvQDybkw==" saltValue="7FfbzRQTyURytAaCe970dg==" spinCount="100000" sheet="1" objects="1" scenarios="1"/>
  <mergeCells count="8">
    <mergeCell ref="B11:C11"/>
    <mergeCell ref="F11:I11"/>
    <mergeCell ref="G23:J24"/>
    <mergeCell ref="G25:J26"/>
    <mergeCell ref="F13:G13"/>
    <mergeCell ref="F8:I8"/>
    <mergeCell ref="F9:I9"/>
    <mergeCell ref="F10:I10"/>
  </mergeCells>
  <phoneticPr fontId="3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9D51-5945-4EAF-9952-6D06CAFFB845}">
  <dimension ref="A1:C34"/>
  <sheetViews>
    <sheetView topLeftCell="A19" workbookViewId="0">
      <selection activeCell="D34" sqref="D34"/>
    </sheetView>
  </sheetViews>
  <sheetFormatPr defaultRowHeight="12.75" x14ac:dyDescent="0.2"/>
  <cols>
    <col min="1" max="2" width="10.42578125" bestFit="1" customWidth="1"/>
  </cols>
  <sheetData>
    <row r="1" spans="1:3" ht="15" x14ac:dyDescent="0.25">
      <c r="A1" s="57" t="s">
        <v>100</v>
      </c>
      <c r="B1" s="57" t="s">
        <v>101</v>
      </c>
      <c r="C1" s="58" t="s">
        <v>102</v>
      </c>
    </row>
    <row r="2" spans="1:3" ht="15" x14ac:dyDescent="0.25">
      <c r="A2" s="59">
        <v>39448</v>
      </c>
      <c r="B2" s="59">
        <v>39813</v>
      </c>
      <c r="C2" s="60">
        <v>0.06</v>
      </c>
    </row>
    <row r="3" spans="1:3" ht="15" x14ac:dyDescent="0.25">
      <c r="A3" s="59">
        <v>39814</v>
      </c>
      <c r="B3" s="59">
        <v>39994</v>
      </c>
      <c r="C3" s="60">
        <v>0.06</v>
      </c>
    </row>
    <row r="4" spans="1:3" ht="15" x14ac:dyDescent="0.25">
      <c r="A4" s="59">
        <v>39995</v>
      </c>
      <c r="B4" s="59">
        <v>40178</v>
      </c>
      <c r="C4" s="60">
        <v>3.7999999999999999E-2</v>
      </c>
    </row>
    <row r="5" spans="1:3" ht="15" x14ac:dyDescent="0.25">
      <c r="A5" s="59">
        <v>40179</v>
      </c>
      <c r="B5" s="59">
        <v>40359</v>
      </c>
      <c r="C5" s="60">
        <v>3.5000000000000003E-2</v>
      </c>
    </row>
    <row r="6" spans="1:3" ht="15" x14ac:dyDescent="0.25">
      <c r="A6" s="59">
        <v>40360</v>
      </c>
      <c r="B6" s="59">
        <v>40543</v>
      </c>
      <c r="C6" s="60">
        <v>3.4000000000000002E-2</v>
      </c>
    </row>
    <row r="7" spans="1:3" ht="15" x14ac:dyDescent="0.25">
      <c r="A7" s="59">
        <v>40544</v>
      </c>
      <c r="B7" s="59">
        <v>40724</v>
      </c>
      <c r="C7" s="60">
        <v>4.1000000000000002E-2</v>
      </c>
    </row>
    <row r="8" spans="1:3" ht="15" x14ac:dyDescent="0.25">
      <c r="A8" s="59">
        <v>40725</v>
      </c>
      <c r="B8" s="59">
        <v>40908</v>
      </c>
      <c r="C8" s="60">
        <v>4.2000000000000003E-2</v>
      </c>
    </row>
    <row r="9" spans="1:3" ht="15" x14ac:dyDescent="0.25">
      <c r="A9" s="59">
        <v>40909</v>
      </c>
      <c r="B9" s="59">
        <v>41090</v>
      </c>
      <c r="C9" s="60">
        <v>4.5999999999999999E-2</v>
      </c>
    </row>
    <row r="10" spans="1:3" ht="15" x14ac:dyDescent="0.25">
      <c r="A10" s="59">
        <v>41091</v>
      </c>
      <c r="B10" s="59">
        <v>41274</v>
      </c>
      <c r="C10" s="60">
        <v>4.7E-2</v>
      </c>
    </row>
    <row r="11" spans="1:3" ht="15" x14ac:dyDescent="0.25">
      <c r="A11" s="59">
        <v>41275</v>
      </c>
      <c r="B11" s="59">
        <v>41455</v>
      </c>
      <c r="C11" s="60">
        <v>4.2999999999999997E-2</v>
      </c>
    </row>
    <row r="12" spans="1:3" ht="15" x14ac:dyDescent="0.25">
      <c r="A12" s="59">
        <v>41456</v>
      </c>
      <c r="B12" s="59">
        <v>41639</v>
      </c>
      <c r="C12" s="60">
        <v>4.1000000000000002E-2</v>
      </c>
    </row>
    <row r="13" spans="1:3" ht="15" x14ac:dyDescent="0.25">
      <c r="A13" s="59">
        <v>41640</v>
      </c>
      <c r="B13" s="59">
        <v>41820</v>
      </c>
      <c r="C13" s="60">
        <v>3.9E-2</v>
      </c>
    </row>
    <row r="14" spans="1:3" ht="15" x14ac:dyDescent="0.25">
      <c r="A14" s="59">
        <v>41821</v>
      </c>
      <c r="B14" s="59">
        <v>42004</v>
      </c>
      <c r="C14" s="60">
        <v>3.5999999999999997E-2</v>
      </c>
    </row>
    <row r="15" spans="1:3" ht="15" x14ac:dyDescent="0.25">
      <c r="A15" s="59">
        <v>42005</v>
      </c>
      <c r="B15" s="59">
        <v>42185</v>
      </c>
      <c r="C15" s="60">
        <v>3.5999999999999997E-2</v>
      </c>
    </row>
    <row r="16" spans="1:3" ht="15" x14ac:dyDescent="0.25">
      <c r="A16" s="59">
        <v>42186</v>
      </c>
      <c r="B16" s="59">
        <v>42369</v>
      </c>
      <c r="C16" s="60">
        <v>3.3000000000000002E-2</v>
      </c>
    </row>
    <row r="17" spans="1:3" ht="15" x14ac:dyDescent="0.25">
      <c r="A17" s="59">
        <v>42370</v>
      </c>
      <c r="B17" s="59">
        <v>42551</v>
      </c>
      <c r="C17" s="60">
        <v>0.03</v>
      </c>
    </row>
    <row r="18" spans="1:3" ht="15" x14ac:dyDescent="0.25">
      <c r="A18" s="59">
        <v>42552</v>
      </c>
      <c r="B18" s="59">
        <v>42735</v>
      </c>
      <c r="C18" s="60">
        <v>2.9000000000000001E-2</v>
      </c>
    </row>
    <row r="19" spans="1:3" ht="15" x14ac:dyDescent="0.25">
      <c r="A19" s="59">
        <v>42736</v>
      </c>
      <c r="B19" s="59">
        <v>42916</v>
      </c>
      <c r="C19" s="60">
        <v>2.7E-2</v>
      </c>
    </row>
    <row r="20" spans="1:3" ht="15" x14ac:dyDescent="0.25">
      <c r="A20" s="59">
        <v>42917</v>
      </c>
      <c r="B20" s="59">
        <v>43100</v>
      </c>
      <c r="C20" s="60">
        <v>2.5999999999999999E-2</v>
      </c>
    </row>
    <row r="21" spans="1:3" ht="15" x14ac:dyDescent="0.25">
      <c r="A21" s="59">
        <v>43101</v>
      </c>
      <c r="B21" s="59">
        <v>43281</v>
      </c>
      <c r="C21" s="60">
        <v>2.4E-2</v>
      </c>
    </row>
    <row r="22" spans="1:3" ht="15" x14ac:dyDescent="0.25">
      <c r="A22" s="59">
        <v>43282</v>
      </c>
      <c r="B22" s="59">
        <v>43465</v>
      </c>
      <c r="C22" s="60">
        <v>2.5000000000000001E-2</v>
      </c>
    </row>
    <row r="23" spans="1:3" ht="15" x14ac:dyDescent="0.25">
      <c r="A23" s="59">
        <v>43466</v>
      </c>
      <c r="B23" s="59">
        <v>43646</v>
      </c>
      <c r="C23" s="61">
        <v>2.3E-2</v>
      </c>
    </row>
    <row r="24" spans="1:3" ht="15" x14ac:dyDescent="0.25">
      <c r="A24" s="59">
        <v>43647</v>
      </c>
      <c r="B24" s="62">
        <v>44012</v>
      </c>
      <c r="C24" s="61">
        <v>2.1999999999999999E-2</v>
      </c>
    </row>
    <row r="25" spans="1:3" ht="15" x14ac:dyDescent="0.25">
      <c r="A25" s="63">
        <v>44013</v>
      </c>
      <c r="B25" s="63">
        <v>44561</v>
      </c>
      <c r="C25" s="64">
        <v>2.1000000000000001E-2</v>
      </c>
    </row>
    <row r="26" spans="1:3" ht="15" x14ac:dyDescent="0.25">
      <c r="A26" s="63">
        <v>44562</v>
      </c>
      <c r="B26" s="63">
        <v>44742</v>
      </c>
      <c r="C26" s="64">
        <v>0.02</v>
      </c>
    </row>
    <row r="27" spans="1:3" ht="15" x14ac:dyDescent="0.25">
      <c r="A27" s="63">
        <v>44743</v>
      </c>
      <c r="B27" s="63">
        <v>44926</v>
      </c>
      <c r="C27" s="64">
        <v>1.9E-2</v>
      </c>
    </row>
    <row r="28" spans="1:3" ht="15" x14ac:dyDescent="0.25">
      <c r="A28" s="63">
        <v>44927</v>
      </c>
      <c r="B28" s="63">
        <v>45107</v>
      </c>
      <c r="C28" s="64">
        <v>2.3E-2</v>
      </c>
    </row>
    <row r="29" spans="1:3" ht="15" x14ac:dyDescent="0.25">
      <c r="A29" s="63">
        <v>45108</v>
      </c>
      <c r="B29" s="63">
        <v>45291</v>
      </c>
      <c r="C29" s="64">
        <v>4.4000000000000004E-2</v>
      </c>
    </row>
    <row r="30" spans="1:3" ht="15" x14ac:dyDescent="0.25">
      <c r="A30" s="76">
        <v>45292</v>
      </c>
      <c r="B30" s="76">
        <v>45473</v>
      </c>
      <c r="C30" s="64">
        <v>5.5E-2</v>
      </c>
    </row>
    <row r="31" spans="1:3" ht="15" x14ac:dyDescent="0.25">
      <c r="A31" s="63">
        <v>45474</v>
      </c>
      <c r="B31" s="63">
        <v>45657</v>
      </c>
      <c r="C31" s="64">
        <v>5.9000000000000004E-2</v>
      </c>
    </row>
    <row r="32" spans="1:3" ht="15" x14ac:dyDescent="0.25">
      <c r="A32" s="76">
        <v>45658</v>
      </c>
      <c r="B32" s="76">
        <v>45838</v>
      </c>
      <c r="C32" s="64">
        <v>5.4000000000000006E-2</v>
      </c>
    </row>
    <row r="33" spans="1:3" ht="15" x14ac:dyDescent="0.25">
      <c r="A33" s="63">
        <v>45839</v>
      </c>
      <c r="B33" s="63">
        <v>46022</v>
      </c>
      <c r="C33" s="64">
        <v>4.5999999999999999E-2</v>
      </c>
    </row>
    <row r="34" spans="1:3" ht="15" x14ac:dyDescent="0.25">
      <c r="A34" s="76">
        <v>46023</v>
      </c>
      <c r="B34" s="76"/>
      <c r="C34" s="64">
        <v>3.7999999999999999E-2</v>
      </c>
    </row>
  </sheetData>
  <sheetProtection algorithmName="SHA-512" hashValue="syuxIMsKyDULeuUR2QaiX+piFtxq5J4xnfPjp4nXiw2zyQOVlNuLZ0ElCPATKl3ONmEGgBF/t5WFGc1ynOwQ8g==" saltValue="DYl9TWQrvRY3yKqcAR4TP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</vt:i4>
      </vt:variant>
    </vt:vector>
  </HeadingPairs>
  <TitlesOfParts>
    <vt:vector size="8" baseType="lpstr">
      <vt:lpstr>1.periode</vt:lpstr>
      <vt:lpstr>Genberegning</vt:lpstr>
      <vt:lpstr>Forlængelse</vt:lpstr>
      <vt:lpstr>Regulering</vt:lpstr>
      <vt:lpstr>Afbrydelse</vt:lpstr>
      <vt:lpstr>Afbrydelse af forlængede</vt:lpstr>
      <vt:lpstr>Leasingrente</vt:lpstr>
      <vt:lpstr>Genberegning!Udskriftsområde</vt:lpstr>
    </vt:vector>
  </TitlesOfParts>
  <Company>SKAT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Christian.Joergensen@motorst.dk</dc:creator>
  <cp:lastModifiedBy>Anne Bollerslev</cp:lastModifiedBy>
  <cp:lastPrinted>2024-05-14T13:51:38Z</cp:lastPrinted>
  <dcterms:created xsi:type="dcterms:W3CDTF">2008-12-19T09:28:08Z</dcterms:created>
  <dcterms:modified xsi:type="dcterms:W3CDTF">2026-05-06T06:53:47Z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